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lavkovaA\Documents\ROZPOCET_2023\pracovni\komentar\"/>
    </mc:Choice>
  </mc:AlternateContent>
  <bookViews>
    <workbookView xWindow="0" yWindow="0" windowWidth="12075" windowHeight="2820"/>
  </bookViews>
  <sheets>
    <sheet name="Kompenzace SMO" sheetId="6" r:id="rId1"/>
    <sheet name="výchozí model (T + A)" sheetId="10" r:id="rId2"/>
    <sheet name="výchozí model T" sheetId="1" r:id="rId3"/>
    <sheet name="výchozí model A" sheetId="2" r:id="rId4"/>
    <sheet name="Energie - plán 2023" sheetId="17" r:id="rId5"/>
    <sheet name="km - plán 2023" sheetId="13" r:id="rId6"/>
    <sheet name="změna výkonu " sheetId="8" r:id="rId7"/>
    <sheet name="index bazický" sheetId="5" r:id="rId8"/>
    <sheet name="index mzdy" sheetId="3" r:id="rId9"/>
    <sheet name="index PHM a energie" sheetId="4" r:id="rId10"/>
    <sheet name="Provozní aktiva A+T" sheetId="16" r:id="rId11"/>
    <sheet name="Provozní aktiva ZC" sheetId="15" r:id="rId12"/>
    <sheet name="Perspektiva odpisů" sheetId="14" r:id="rId13"/>
  </sheets>
  <externalReferences>
    <externalReference r:id="rId14"/>
  </externalReferences>
  <definedNames>
    <definedName name="_xlnm._FilterDatabase" localSheetId="12" hidden="1">'Perspektiva odpisů'!$A$5:$L$484</definedName>
    <definedName name="_xlnm.Print_Area" localSheetId="0">'Kompenzace SMO'!$B$2:$R$27</definedName>
    <definedName name="_xlnm.Print_Area" localSheetId="1">'výchozí model (T + A)'!$B$1:$L$37</definedName>
    <definedName name="_xlnm.Print_Area" localSheetId="3">'výchozí model A'!$A$1:$I$37</definedName>
    <definedName name="_xlnm.Print_Area" localSheetId="2">'výchozí model T'!$A$1:$I$36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9" i="6" l="1"/>
  <c r="F9" i="17" l="1"/>
  <c r="F10" i="17" l="1"/>
  <c r="E10" i="17"/>
  <c r="E8" i="17"/>
  <c r="F8" i="17"/>
  <c r="D8" i="17"/>
  <c r="D10" i="17" s="1"/>
  <c r="D11" i="17" s="1"/>
  <c r="G9" i="17" l="1"/>
  <c r="F11" i="17"/>
  <c r="E11" i="17"/>
  <c r="G10" i="17" l="1"/>
  <c r="G11" i="17"/>
  <c r="G20" i="6" s="1"/>
  <c r="H35" i="6" l="1"/>
  <c r="G35" i="6"/>
  <c r="H31" i="6"/>
  <c r="G31" i="6"/>
  <c r="I31" i="6" s="1"/>
  <c r="H32" i="6" s="1"/>
  <c r="I35" i="6" l="1"/>
  <c r="G36" i="6" s="1"/>
  <c r="G32" i="6"/>
  <c r="I32" i="6" s="1"/>
  <c r="H36" i="6" l="1"/>
  <c r="I36" i="6" s="1"/>
  <c r="E75" i="16"/>
  <c r="H30" i="2" s="1"/>
  <c r="D75" i="16"/>
  <c r="G75" i="16"/>
  <c r="I56" i="15"/>
  <c r="I52" i="15"/>
  <c r="I51" i="15"/>
  <c r="R44" i="15"/>
  <c r="R41" i="15"/>
  <c r="R8" i="15"/>
  <c r="R10" i="15"/>
  <c r="R15" i="15"/>
  <c r="R16" i="15"/>
  <c r="R17" i="15"/>
  <c r="R19" i="15"/>
  <c r="R12" i="15"/>
  <c r="R11" i="15"/>
  <c r="O44" i="15"/>
  <c r="O41" i="15"/>
  <c r="O19" i="15"/>
  <c r="O15" i="15"/>
  <c r="O10" i="15"/>
  <c r="O8" i="15"/>
  <c r="F22" i="8"/>
  <c r="H29" i="1"/>
  <c r="F29" i="1"/>
  <c r="F30" i="2"/>
  <c r="I54" i="15"/>
  <c r="I53" i="15"/>
  <c r="I55" i="15"/>
  <c r="K30" i="10" l="1"/>
  <c r="I57" i="15"/>
  <c r="G30" i="10"/>
  <c r="E74" i="16" l="1"/>
  <c r="D74" i="16"/>
  <c r="E21" i="4" l="1"/>
  <c r="E20" i="4"/>
  <c r="F22" i="4"/>
  <c r="C9" i="5"/>
  <c r="L4" i="8" l="1"/>
  <c r="D4" i="8"/>
  <c r="B31" i="4"/>
  <c r="N10" i="8" l="1"/>
  <c r="F10" i="8"/>
  <c r="F20" i="4" l="1"/>
  <c r="F36" i="2"/>
  <c r="F35" i="1"/>
  <c r="E37" i="10" a="1"/>
  <c r="E37" i="10" s="1"/>
  <c r="E31" i="10"/>
  <c r="E30" i="10"/>
  <c r="E28" i="10"/>
  <c r="E27" i="10"/>
  <c r="E26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G37" i="10" l="1" a="1"/>
  <c r="G37" i="10" s="1"/>
  <c r="E25" i="10"/>
  <c r="F9" i="2"/>
  <c r="F26" i="10"/>
  <c r="E29" i="10"/>
  <c r="F22" i="10"/>
  <c r="F20" i="10"/>
  <c r="F27" i="10"/>
  <c r="F11" i="10"/>
  <c r="F28" i="10"/>
  <c r="F17" i="10"/>
  <c r="F14" i="10"/>
  <c r="F16" i="10"/>
  <c r="F18" i="10"/>
  <c r="F12" i="10"/>
  <c r="F30" i="10"/>
  <c r="F24" i="10"/>
  <c r="F19" i="10"/>
  <c r="F10" i="10"/>
  <c r="F13" i="10"/>
  <c r="F21" i="10"/>
  <c r="F31" i="10"/>
  <c r="F15" i="10"/>
  <c r="F23" i="10"/>
  <c r="F9" i="10"/>
  <c r="E32" i="10" l="1"/>
  <c r="F32" i="10" s="1"/>
  <c r="F29" i="10"/>
  <c r="F25" i="10"/>
  <c r="F31" i="2"/>
  <c r="H31" i="2"/>
  <c r="F30" i="1" l="1"/>
  <c r="G31" i="10" s="1"/>
  <c r="C7" i="6" s="1"/>
  <c r="H30" i="10"/>
  <c r="H30" i="1"/>
  <c r="K31" i="10" s="1"/>
  <c r="G7" i="6" s="1"/>
  <c r="H35" i="1"/>
  <c r="H36" i="2"/>
  <c r="K37" i="10" l="1" a="1"/>
  <c r="K37" i="10" s="1"/>
  <c r="L31" i="10" s="1"/>
  <c r="I30" i="1"/>
  <c r="H31" i="10"/>
  <c r="G30" i="1"/>
  <c r="N13" i="8"/>
  <c r="F13" i="8"/>
  <c r="L30" i="10" l="1"/>
  <c r="N9" i="8"/>
  <c r="J16" i="8" s="1"/>
  <c r="J15" i="8" l="1"/>
  <c r="B17" i="8" l="1"/>
  <c r="F9" i="8"/>
  <c r="B16" i="8" l="1"/>
  <c r="B1" i="8"/>
  <c r="F1" i="8" s="1"/>
  <c r="B15" i="8"/>
  <c r="J17" i="8" l="1"/>
  <c r="L6" i="8" l="1"/>
  <c r="D6" i="8"/>
  <c r="F27" i="2" l="1"/>
  <c r="H27" i="2" s="1"/>
  <c r="F22" i="2"/>
  <c r="H22" i="2" s="1"/>
  <c r="F10" i="1"/>
  <c r="F19" i="2"/>
  <c r="F26" i="1"/>
  <c r="H26" i="1" s="1"/>
  <c r="F14" i="1"/>
  <c r="F19" i="1"/>
  <c r="F17" i="2"/>
  <c r="F21" i="2"/>
  <c r="F13" i="2"/>
  <c r="F20" i="1"/>
  <c r="H20" i="1" s="1"/>
  <c r="G19" i="1" l="1"/>
  <c r="H21" i="2"/>
  <c r="H17" i="2"/>
  <c r="I17" i="2" s="1"/>
  <c r="G17" i="2"/>
  <c r="H19" i="2"/>
  <c r="G19" i="10"/>
  <c r="H19" i="10" s="1"/>
  <c r="G19" i="2"/>
  <c r="G21" i="10"/>
  <c r="H21" i="10" s="1"/>
  <c r="G20" i="1"/>
  <c r="G10" i="1"/>
  <c r="H13" i="2"/>
  <c r="I13" i="2" s="1"/>
  <c r="G13" i="2"/>
  <c r="G13" i="10"/>
  <c r="H13" i="10" s="1"/>
  <c r="G14" i="1"/>
  <c r="G27" i="10"/>
  <c r="H27" i="10" s="1"/>
  <c r="G26" i="1"/>
  <c r="I27" i="2"/>
  <c r="G27" i="2"/>
  <c r="H10" i="1"/>
  <c r="H14" i="1"/>
  <c r="H19" i="1"/>
  <c r="I19" i="1" s="1"/>
  <c r="I26" i="1" l="1"/>
  <c r="K27" i="10"/>
  <c r="L27" i="10" s="1"/>
  <c r="I20" i="1"/>
  <c r="K21" i="10"/>
  <c r="L21" i="10" s="1"/>
  <c r="I19" i="2"/>
  <c r="K19" i="10"/>
  <c r="L19" i="10" s="1"/>
  <c r="I14" i="1"/>
  <c r="K13" i="10"/>
  <c r="L13" i="10" s="1"/>
  <c r="I10" i="1"/>
  <c r="B20" i="3"/>
  <c r="B11" i="3"/>
  <c r="C22" i="3" s="1"/>
  <c r="F28" i="2"/>
  <c r="F26" i="2"/>
  <c r="H26" i="2" s="1"/>
  <c r="F24" i="2"/>
  <c r="F23" i="2"/>
  <c r="F20" i="2"/>
  <c r="F18" i="2"/>
  <c r="F16" i="2"/>
  <c r="F12" i="2"/>
  <c r="F11" i="2"/>
  <c r="F10" i="2"/>
  <c r="E28" i="2"/>
  <c r="E10" i="1"/>
  <c r="F27" i="1"/>
  <c r="H27" i="1" s="1"/>
  <c r="F25" i="1"/>
  <c r="H25" i="1" s="1"/>
  <c r="F23" i="1"/>
  <c r="F22" i="1"/>
  <c r="F21" i="1"/>
  <c r="H21" i="1" s="1"/>
  <c r="F18" i="1"/>
  <c r="F17" i="1"/>
  <c r="F13" i="1"/>
  <c r="H13" i="1" s="1"/>
  <c r="F12" i="1"/>
  <c r="F11" i="1"/>
  <c r="F9" i="1"/>
  <c r="F15" i="1" l="1"/>
  <c r="H15" i="1" s="1"/>
  <c r="F14" i="2"/>
  <c r="H14" i="2" s="1"/>
  <c r="I14" i="2" s="1"/>
  <c r="I13" i="1"/>
  <c r="G26" i="2"/>
  <c r="G9" i="1"/>
  <c r="G9" i="10"/>
  <c r="H9" i="2"/>
  <c r="G9" i="2"/>
  <c r="G15" i="1"/>
  <c r="G22" i="10"/>
  <c r="G21" i="1"/>
  <c r="G28" i="10"/>
  <c r="G27" i="1"/>
  <c r="H12" i="2"/>
  <c r="I12" i="2" s="1"/>
  <c r="G12" i="2"/>
  <c r="H18" i="2"/>
  <c r="G18" i="10"/>
  <c r="G18" i="2"/>
  <c r="G10" i="10"/>
  <c r="I10" i="10" s="1"/>
  <c r="G11" i="1"/>
  <c r="H22" i="1"/>
  <c r="G23" i="10"/>
  <c r="G22" i="1"/>
  <c r="G14" i="2"/>
  <c r="H20" i="2"/>
  <c r="G20" i="10"/>
  <c r="G20" i="2"/>
  <c r="H28" i="2"/>
  <c r="I28" i="2" s="1"/>
  <c r="G28" i="2"/>
  <c r="G11" i="10"/>
  <c r="G12" i="1"/>
  <c r="G16" i="10"/>
  <c r="G17" i="1"/>
  <c r="G24" i="10"/>
  <c r="G23" i="1"/>
  <c r="H10" i="2"/>
  <c r="I10" i="2" s="1"/>
  <c r="G10" i="2"/>
  <c r="H23" i="2"/>
  <c r="I23" i="2" s="1"/>
  <c r="G23" i="2"/>
  <c r="G12" i="10"/>
  <c r="G13" i="1"/>
  <c r="G17" i="10"/>
  <c r="G18" i="1"/>
  <c r="G26" i="10"/>
  <c r="I26" i="10" s="1"/>
  <c r="G25" i="1"/>
  <c r="H11" i="2"/>
  <c r="I11" i="2" s="1"/>
  <c r="G11" i="2"/>
  <c r="H16" i="2"/>
  <c r="I16" i="2" s="1"/>
  <c r="G16" i="2"/>
  <c r="H24" i="2"/>
  <c r="I24" i="2" s="1"/>
  <c r="G24" i="2"/>
  <c r="H18" i="1"/>
  <c r="H9" i="1"/>
  <c r="H11" i="1"/>
  <c r="H12" i="1"/>
  <c r="H17" i="1"/>
  <c r="H23" i="1"/>
  <c r="F29" i="2"/>
  <c r="G29" i="2" s="1"/>
  <c r="I26" i="2"/>
  <c r="E20" i="2"/>
  <c r="F16" i="1"/>
  <c r="F15" i="2"/>
  <c r="F28" i="1"/>
  <c r="G28" i="1" s="1"/>
  <c r="E19" i="1"/>
  <c r="E15" i="1"/>
  <c r="E27" i="1"/>
  <c r="E20" i="1"/>
  <c r="E16" i="1"/>
  <c r="E12" i="1"/>
  <c r="E23" i="1"/>
  <c r="E11" i="1"/>
  <c r="E26" i="1"/>
  <c r="E22" i="1"/>
  <c r="E18" i="1"/>
  <c r="E14" i="1"/>
  <c r="E9" i="1"/>
  <c r="E25" i="1"/>
  <c r="E21" i="1"/>
  <c r="E17" i="1"/>
  <c r="E13" i="1"/>
  <c r="E13" i="2"/>
  <c r="E12" i="2"/>
  <c r="E19" i="2"/>
  <c r="E25" i="2"/>
  <c r="E11" i="2"/>
  <c r="E15" i="2"/>
  <c r="E10" i="2"/>
  <c r="E16" i="2"/>
  <c r="E24" i="2"/>
  <c r="E23" i="2"/>
  <c r="E17" i="2"/>
  <c r="E29" i="2"/>
  <c r="E9" i="2"/>
  <c r="E18" i="2"/>
  <c r="E27" i="2"/>
  <c r="E14" i="2"/>
  <c r="E26" i="2"/>
  <c r="E28" i="1"/>
  <c r="H43" i="1" l="1"/>
  <c r="H39" i="1" s="1"/>
  <c r="I9" i="2"/>
  <c r="H44" i="2"/>
  <c r="H40" i="2" s="1"/>
  <c r="G14" i="10"/>
  <c r="H14" i="10" s="1"/>
  <c r="H18" i="10"/>
  <c r="I18" i="10"/>
  <c r="H11" i="10"/>
  <c r="I11" i="10"/>
  <c r="H23" i="10"/>
  <c r="I23" i="10"/>
  <c r="H9" i="10"/>
  <c r="I9" i="10"/>
  <c r="H12" i="10"/>
  <c r="I12" i="10"/>
  <c r="H28" i="10"/>
  <c r="I28" i="10"/>
  <c r="H17" i="10"/>
  <c r="I17" i="10"/>
  <c r="H24" i="10"/>
  <c r="I24" i="10"/>
  <c r="H20" i="10"/>
  <c r="I20" i="10"/>
  <c r="H16" i="10"/>
  <c r="I16" i="10"/>
  <c r="H22" i="10"/>
  <c r="I22" i="10"/>
  <c r="G15" i="2"/>
  <c r="I15" i="1"/>
  <c r="K14" i="10"/>
  <c r="L14" i="10" s="1"/>
  <c r="I9" i="1"/>
  <c r="K9" i="10"/>
  <c r="I23" i="1"/>
  <c r="K24" i="10"/>
  <c r="L24" i="10" s="1"/>
  <c r="I17" i="1"/>
  <c r="K16" i="10"/>
  <c r="L16" i="10" s="1"/>
  <c r="I12" i="1"/>
  <c r="K11" i="10"/>
  <c r="L11" i="10" s="1"/>
  <c r="I11" i="1"/>
  <c r="K10" i="10"/>
  <c r="I20" i="2"/>
  <c r="K20" i="10"/>
  <c r="L20" i="10" s="1"/>
  <c r="I18" i="2"/>
  <c r="K18" i="10"/>
  <c r="L18" i="10" s="1"/>
  <c r="I27" i="1"/>
  <c r="K28" i="10"/>
  <c r="L28" i="10" s="1"/>
  <c r="I18" i="1"/>
  <c r="K17" i="10"/>
  <c r="L17" i="10" s="1"/>
  <c r="I22" i="1"/>
  <c r="K23" i="10"/>
  <c r="L23" i="10" s="1"/>
  <c r="K12" i="10"/>
  <c r="L12" i="10" s="1"/>
  <c r="K26" i="10"/>
  <c r="I21" i="1"/>
  <c r="K22" i="10"/>
  <c r="L22" i="10" s="1"/>
  <c r="G15" i="10"/>
  <c r="G16" i="1"/>
  <c r="H28" i="1"/>
  <c r="I28" i="1" s="1"/>
  <c r="I25" i="1"/>
  <c r="H26" i="10"/>
  <c r="G29" i="10"/>
  <c r="H10" i="10"/>
  <c r="H29" i="2"/>
  <c r="I29" i="2" s="1"/>
  <c r="F25" i="2"/>
  <c r="G25" i="2" s="1"/>
  <c r="H15" i="2"/>
  <c r="I15" i="2" s="1"/>
  <c r="F24" i="1"/>
  <c r="G24" i="1" s="1"/>
  <c r="H16" i="1"/>
  <c r="E31" i="1"/>
  <c r="E24" i="1"/>
  <c r="E32" i="2"/>
  <c r="K40" i="10" l="1"/>
  <c r="I14" i="10"/>
  <c r="L9" i="10"/>
  <c r="G21" i="6"/>
  <c r="H15" i="10"/>
  <c r="H25" i="10" s="1"/>
  <c r="I15" i="10"/>
  <c r="H29" i="10"/>
  <c r="K15" i="10"/>
  <c r="L15" i="10" s="1"/>
  <c r="G25" i="10"/>
  <c r="G32" i="10" s="1"/>
  <c r="H32" i="10" s="1"/>
  <c r="L10" i="10"/>
  <c r="K29" i="10"/>
  <c r="L29" i="10" s="1"/>
  <c r="L26" i="10"/>
  <c r="H24" i="1"/>
  <c r="I24" i="1" s="1"/>
  <c r="I16" i="1"/>
  <c r="C5" i="6"/>
  <c r="F31" i="1"/>
  <c r="G31" i="1" s="1"/>
  <c r="H25" i="2"/>
  <c r="I25" i="2" s="1"/>
  <c r="F32" i="2"/>
  <c r="G32" i="2" s="1"/>
  <c r="C4" i="6"/>
  <c r="K25" i="10" l="1"/>
  <c r="K32" i="10" s="1"/>
  <c r="H31" i="1"/>
  <c r="G5" i="6"/>
  <c r="C6" i="6"/>
  <c r="C8" i="6" s="1"/>
  <c r="H32" i="2"/>
  <c r="G4" i="6"/>
  <c r="I31" i="1" l="1"/>
  <c r="H40" i="1"/>
  <c r="I40" i="1" s="1"/>
  <c r="I32" i="2"/>
  <c r="H45" i="2"/>
  <c r="I45" i="2" s="1"/>
  <c r="H41" i="2"/>
  <c r="I41" i="2" s="1"/>
  <c r="L32" i="10"/>
  <c r="K41" i="10"/>
  <c r="L41" i="10" s="1"/>
  <c r="L25" i="10"/>
  <c r="G6" i="6"/>
  <c r="G8" i="6" s="1"/>
  <c r="H44" i="1" l="1"/>
  <c r="I44" i="1" s="1"/>
  <c r="K44" i="10"/>
  <c r="K45" i="10" s="1"/>
  <c r="L45" i="10" s="1"/>
  <c r="G22" i="6" l="1"/>
  <c r="G23" i="6" l="1"/>
  <c r="G26" i="6" s="1"/>
  <c r="G24" i="6"/>
  <c r="G27" i="6" l="1"/>
  <c r="L37" i="10"/>
  <c r="H37" i="10"/>
  <c r="F37" i="10"/>
</calcChain>
</file>

<file path=xl/comments1.xml><?xml version="1.0" encoding="utf-8"?>
<comments xmlns="http://schemas.openxmlformats.org/spreadsheetml/2006/main">
  <authors>
    <author>Marta Matyšková</author>
  </authors>
  <commentList>
    <comment ref="K7" authorId="0" shapeId="0">
      <text>
        <r>
          <rPr>
            <b/>
            <sz val="9"/>
            <color indexed="81"/>
            <rFont val="Tahoma"/>
            <family val="2"/>
            <charset val="238"/>
          </rPr>
          <t>km plánované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Marta Matyšková</author>
  </authors>
  <commentList>
    <comment ref="H7" authorId="0" shapeId="0">
      <text>
        <r>
          <rPr>
            <b/>
            <sz val="9"/>
            <color indexed="81"/>
            <rFont val="Tahoma"/>
            <family val="2"/>
            <charset val="238"/>
          </rPr>
          <t>km plánované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Marta Matyšková</author>
  </authors>
  <commentList>
    <comment ref="H7" authorId="0" shapeId="0">
      <text>
        <r>
          <rPr>
            <sz val="9"/>
            <color indexed="81"/>
            <rFont val="Tahoma"/>
            <family val="2"/>
            <charset val="238"/>
          </rPr>
          <t xml:space="preserve">plánované km
</t>
        </r>
      </text>
    </comment>
  </commentList>
</comments>
</file>

<file path=xl/comments4.xml><?xml version="1.0" encoding="utf-8"?>
<comments xmlns="http://schemas.openxmlformats.org/spreadsheetml/2006/main">
  <authors>
    <author>Libuše Vodičková</author>
  </authors>
  <commentList>
    <comment ref="D9" authorId="0" shapeId="0">
      <text>
        <r>
          <rPr>
            <b/>
            <sz val="9"/>
            <color indexed="81"/>
            <rFont val="Tahoma"/>
            <family val="2"/>
            <charset val="238"/>
          </rPr>
          <t>odhad TR</t>
        </r>
      </text>
    </comment>
    <comment ref="F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Distribuce 162 Kč/KWh
Daň z plynu 264,80 Kč/MWh
</t>
        </r>
      </text>
    </comment>
  </commentList>
</comments>
</file>

<file path=xl/comments5.xml><?xml version="1.0" encoding="utf-8"?>
<comments xmlns="http://schemas.openxmlformats.org/spreadsheetml/2006/main">
  <authors>
    <author>Marta Matyšková</author>
  </authors>
  <commentList>
    <comment ref="B18" authorId="0" shapeId="0">
      <text>
        <r>
          <rPr>
            <b/>
            <sz val="9"/>
            <color indexed="81"/>
            <rFont val="Tahoma"/>
            <family val="2"/>
            <charset val="238"/>
          </rPr>
          <t>Marta Matyšková:</t>
        </r>
        <r>
          <rPr>
            <sz val="9"/>
            <color indexed="81"/>
            <rFont val="Tahoma"/>
            <family val="2"/>
            <charset val="238"/>
          </rPr>
          <t xml:space="preserve">
od 1.7.2019</t>
        </r>
      </text>
    </comment>
  </commentList>
</comments>
</file>

<file path=xl/comments6.xml><?xml version="1.0" encoding="utf-8"?>
<comments xmlns="http://schemas.openxmlformats.org/spreadsheetml/2006/main">
  <authors>
    <author>Libuše Vodičková</author>
  </authors>
  <commentList>
    <comment ref="F29" authorId="0" shapeId="0">
      <text>
        <r>
          <rPr>
            <b/>
            <sz val="9"/>
            <color indexed="81"/>
            <rFont val="Tahoma"/>
            <family val="2"/>
            <charset val="238"/>
          </rPr>
          <t>VDL - zájezdový autobus</t>
        </r>
      </text>
    </comment>
    <comment ref="F31" authorId="0" shapeId="0">
      <text>
        <r>
          <rPr>
            <b/>
            <sz val="9"/>
            <color indexed="81"/>
            <rFont val="Tahoma"/>
            <family val="2"/>
            <charset val="238"/>
          </rPr>
          <t>TESCO BUS</t>
        </r>
      </text>
    </comment>
    <comment ref="F47" authorId="0" shapeId="0">
      <text>
        <r>
          <rPr>
            <b/>
            <sz val="9"/>
            <color indexed="81"/>
            <rFont val="Tahoma"/>
            <family val="2"/>
            <charset val="238"/>
          </rPr>
          <t>SENIOR TAXI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<sst xmlns="http://schemas.openxmlformats.org/spreadsheetml/2006/main" count="1390" uniqueCount="990">
  <si>
    <t>Dopravce:      Městský dopravní podnik Opava, a.s.</t>
  </si>
  <si>
    <t>Objednatel:    Statutární město Opava</t>
  </si>
  <si>
    <t>Výkaz nákladů a výnosů</t>
  </si>
  <si>
    <t>řádek</t>
  </si>
  <si>
    <t>Trakční energie a palivo</t>
  </si>
  <si>
    <t>Netrakční energie a palivo</t>
  </si>
  <si>
    <t>Přímý materiál</t>
  </si>
  <si>
    <t>Opravy a údržba vozidel</t>
  </si>
  <si>
    <t>Odpisy dlouhodobého majetku</t>
  </si>
  <si>
    <t>Pronájem a leasing vozidel</t>
  </si>
  <si>
    <t>Mzdové náklady</t>
  </si>
  <si>
    <t xml:space="preserve">Sociální a zdravotní pojištění </t>
  </si>
  <si>
    <t>Cestovné</t>
  </si>
  <si>
    <t>Úhrada za použití dopraní cesty</t>
  </si>
  <si>
    <t>Úhrada za použití ostatní infrastruktury</t>
  </si>
  <si>
    <t>Ostatní přímé náklady</t>
  </si>
  <si>
    <t xml:space="preserve">Ostatní služby </t>
  </si>
  <si>
    <t>Provozní režie</t>
  </si>
  <si>
    <t>Správní režie</t>
  </si>
  <si>
    <t xml:space="preserve">Tržby z jízdného </t>
  </si>
  <si>
    <t xml:space="preserve">Ostatní tržby z přepravy </t>
  </si>
  <si>
    <t>Ostatní výnosy</t>
  </si>
  <si>
    <t>Hodnota provozních aktiv **</t>
  </si>
  <si>
    <t>Čistý příjem</t>
  </si>
  <si>
    <t>Kompenzace (ř.16 - ř.20 + ř.22)</t>
  </si>
  <si>
    <t>Dotace na pořízení a modernizaci vozidel</t>
  </si>
  <si>
    <t>Jiné dotace</t>
  </si>
  <si>
    <t>Uskutečněný dopravní výkon (vlkm/vozokm)*</t>
  </si>
  <si>
    <t>Ostatní výkony: přístavné, odstavné, přejezdové (vlkm/vozokm)*</t>
  </si>
  <si>
    <t>Výchozí finanční model (veřejná osobní drážní doprava)</t>
  </si>
  <si>
    <t>Výchozí náklady</t>
  </si>
  <si>
    <t>v tis.Kč</t>
  </si>
  <si>
    <t>trolejbusy</t>
  </si>
  <si>
    <t>Výchozí náklady celkem (řádek 1 až 15)</t>
  </si>
  <si>
    <t>autobusy</t>
  </si>
  <si>
    <t>Výchozí finanční model (veřejná linková doprava)</t>
  </si>
  <si>
    <t>Výchozí výnosy</t>
  </si>
  <si>
    <t>Výchozí výnosy celkem (řádek 17 až 19)</t>
  </si>
  <si>
    <t>Pohonné hmoty a oleje</t>
  </si>
  <si>
    <t>Přímý materiál a energie</t>
  </si>
  <si>
    <t>Úhrada za použití infrastruktury</t>
  </si>
  <si>
    <t>Silniční daň</t>
  </si>
  <si>
    <t>Elektronické mýto</t>
  </si>
  <si>
    <t>Pojištění (zákonné, havarijní)</t>
  </si>
  <si>
    <t>Ostatní služby</t>
  </si>
  <si>
    <t>Výchozí náklady celkem (řádek 1 až 16)</t>
  </si>
  <si>
    <t>Výchozí výnosy celkem (řádek 18 až 20)</t>
  </si>
  <si>
    <t>Mzdové náklady dle vývoje průměrné hrubé měsíční mzdy na přepočtené počty zaměstnanců v odvětví dopravy a skladování</t>
  </si>
  <si>
    <t>Odkazy:</t>
  </si>
  <si>
    <t>2Q 2018</t>
  </si>
  <si>
    <t>Čtvrtletí</t>
  </si>
  <si>
    <t>Prům.mzda</t>
  </si>
  <si>
    <t>index</t>
  </si>
  <si>
    <t>Sociální a zdravotní pojištění</t>
  </si>
  <si>
    <t>v %</t>
  </si>
  <si>
    <t>rok</t>
  </si>
  <si>
    <t>dopad změny sazby</t>
  </si>
  <si>
    <t>výsledný index</t>
  </si>
  <si>
    <t>https://portal.pohoda.cz/dane-ucetnictvi-mzdy/mzdy-a-prace/cestovni-nahrady-v-roce-2018/</t>
  </si>
  <si>
    <t>odkazy</t>
  </si>
  <si>
    <t>Průměrná cena motorové nafty v Kč/litr</t>
  </si>
  <si>
    <t>rok 2018</t>
  </si>
  <si>
    <t>A2</t>
  </si>
  <si>
    <t>A1</t>
  </si>
  <si>
    <t>Průměrná cena zemního plynu v Kč/MWh za dodávky pro průmysl</t>
  </si>
  <si>
    <t>B2</t>
  </si>
  <si>
    <t>B1</t>
  </si>
  <si>
    <t>odkaz</t>
  </si>
  <si>
    <t>k</t>
  </si>
  <si>
    <t>koeficient</t>
  </si>
  <si>
    <t>MWh/l</t>
  </si>
  <si>
    <t>q</t>
  </si>
  <si>
    <t xml:space="preserve">i = </t>
  </si>
  <si>
    <t>A2 + k*q*B2</t>
  </si>
  <si>
    <t>A1 + k*q*B1</t>
  </si>
  <si>
    <t>index i</t>
  </si>
  <si>
    <t>zdroj</t>
  </si>
  <si>
    <t>Průměrná cena elektřiny za dodávky pro průmysl v pásmu ID</t>
  </si>
  <si>
    <t>Bazický index spotřebitelských cen</t>
  </si>
  <si>
    <t>za červen 2018</t>
  </si>
  <si>
    <t>v tis. Kč</t>
  </si>
  <si>
    <t>Autobusy</t>
  </si>
  <si>
    <t>Trolejbusy</t>
  </si>
  <si>
    <t>1% provozních aktiv</t>
  </si>
  <si>
    <t>Kompenzace celkem</t>
  </si>
  <si>
    <t>Komp. s přim. ziskem</t>
  </si>
  <si>
    <t>Kompenzace dle smlouvy se SMO</t>
  </si>
  <si>
    <t>poměr nového a výchozího dopravního výkonu trolejbusy</t>
  </si>
  <si>
    <t>w´ - nový dopravní výkon v km</t>
  </si>
  <si>
    <t>w - výchozí dopravní výkon v km</t>
  </si>
  <si>
    <t>poměr nového a výchozího dopravního výkonu autobusy</t>
  </si>
  <si>
    <t>poměr T</t>
  </si>
  <si>
    <t>poměr A</t>
  </si>
  <si>
    <t>celkový nový referenční dopravní výkon</t>
  </si>
  <si>
    <t>celkový původní referenční dopravní výkon</t>
  </si>
  <si>
    <t>w´c</t>
  </si>
  <si>
    <t>w c</t>
  </si>
  <si>
    <t>snížení dopravního výkonu  o</t>
  </si>
  <si>
    <t>původní dopravní výkon trolejbusu</t>
  </si>
  <si>
    <t>w t</t>
  </si>
  <si>
    <t>nový dopravní výkon trolejbusu</t>
  </si>
  <si>
    <t>w´t</t>
  </si>
  <si>
    <t>w´t/w´c</t>
  </si>
  <si>
    <t>w t/w c</t>
  </si>
  <si>
    <t>w´t/w t</t>
  </si>
  <si>
    <t>původní dopravní výkon autobusu</t>
  </si>
  <si>
    <t>nový dopravní výkon autobusu</t>
  </si>
  <si>
    <t>w a</t>
  </si>
  <si>
    <t>w´a</t>
  </si>
  <si>
    <t>w´a/w a</t>
  </si>
  <si>
    <t>w´a/w´c</t>
  </si>
  <si>
    <t>w a/w c</t>
  </si>
  <si>
    <t>Kompenzace při změně výkonu</t>
  </si>
  <si>
    <t>účet</t>
  </si>
  <si>
    <t>T</t>
  </si>
  <si>
    <t>A</t>
  </si>
  <si>
    <t>Stavby</t>
  </si>
  <si>
    <t>021.021</t>
  </si>
  <si>
    <t>021.051</t>
  </si>
  <si>
    <t>021.052</t>
  </si>
  <si>
    <t>021.053</t>
  </si>
  <si>
    <t>021.054</t>
  </si>
  <si>
    <t>Vozy</t>
  </si>
  <si>
    <t>022.031</t>
  </si>
  <si>
    <t>022.032</t>
  </si>
  <si>
    <t>022.033</t>
  </si>
  <si>
    <t>022.034</t>
  </si>
  <si>
    <t>022.035</t>
  </si>
  <si>
    <t>Ostatní 022</t>
  </si>
  <si>
    <t>022.042</t>
  </si>
  <si>
    <t>022.043</t>
  </si>
  <si>
    <t>022.073</t>
  </si>
  <si>
    <t>022.775</t>
  </si>
  <si>
    <t>022 celkem</t>
  </si>
  <si>
    <t>Pozemky</t>
  </si>
  <si>
    <t>znak MO</t>
  </si>
  <si>
    <t>032.000</t>
  </si>
  <si>
    <t>Zůstatková cena majetku 2021</t>
  </si>
  <si>
    <t>Výchozí model 2019</t>
  </si>
  <si>
    <t>Kč/vlkm</t>
  </si>
  <si>
    <t>Výchozí finanční model (veřejná drážní a linková doprava)</t>
  </si>
  <si>
    <t>Výchozí finanční model</t>
  </si>
  <si>
    <t>Výchozí nákldady</t>
  </si>
  <si>
    <t>Pohonné hmoty a oleje / Trakční energie a palivo+Netrakční energie a palivo</t>
  </si>
  <si>
    <t>Úhrada za používání infrastruktury/ dopravní cesty</t>
  </si>
  <si>
    <t>Kompenzace (ř.17 - ř.21 + ř.23)</t>
  </si>
  <si>
    <t>Uskutečněný dopravní výkon (km)</t>
  </si>
  <si>
    <t>https://www.czso.cz/csu/czso/mira_inflace</t>
  </si>
  <si>
    <t>Prac. dny</t>
  </si>
  <si>
    <t>SN+Sv.</t>
  </si>
  <si>
    <t>Letní prac</t>
  </si>
  <si>
    <t>počet dní</t>
  </si>
  <si>
    <t>počet dní 1Q</t>
  </si>
  <si>
    <t>počet dní 2Q</t>
  </si>
  <si>
    <t>počet dní 3Q</t>
  </si>
  <si>
    <t>počet dní 4Q</t>
  </si>
  <si>
    <t>Prac dny</t>
  </si>
  <si>
    <t>Prac dny L</t>
  </si>
  <si>
    <t>SN, Sv</t>
  </si>
  <si>
    <t>Celkem</t>
  </si>
  <si>
    <t>CELKEM</t>
  </si>
  <si>
    <t>Celkem najeto méně km o</t>
  </si>
  <si>
    <t>mimo MHD</t>
  </si>
  <si>
    <t>Nehmotný 2021</t>
  </si>
  <si>
    <t>Nehmotný majetek</t>
  </si>
  <si>
    <t>013.00</t>
  </si>
  <si>
    <t>013.01</t>
  </si>
  <si>
    <t>013.02</t>
  </si>
  <si>
    <t>013.03</t>
  </si>
  <si>
    <t>013.05</t>
  </si>
  <si>
    <t>Nehmotný v Kč</t>
  </si>
  <si>
    <t>Nehmotný v %</t>
  </si>
  <si>
    <t>Stavby 2021</t>
  </si>
  <si>
    <t>021.00</t>
  </si>
  <si>
    <t>021.01</t>
  </si>
  <si>
    <t>021.02</t>
  </si>
  <si>
    <t>021.03</t>
  </si>
  <si>
    <t>021.04</t>
  </si>
  <si>
    <t>021.05</t>
  </si>
  <si>
    <t>Stavby 2020</t>
  </si>
  <si>
    <t>Stavby v %</t>
  </si>
  <si>
    <t>Vozy 2021</t>
  </si>
  <si>
    <t>022.02</t>
  </si>
  <si>
    <t>022.740</t>
  </si>
  <si>
    <t>Vozy 2020</t>
  </si>
  <si>
    <t>Ostatní 2021</t>
  </si>
  <si>
    <t>022.01</t>
  </si>
  <si>
    <t>022.041</t>
  </si>
  <si>
    <t>022.06</t>
  </si>
  <si>
    <t>022.08</t>
  </si>
  <si>
    <t>022.09</t>
  </si>
  <si>
    <t>Ostatní 2020</t>
  </si>
  <si>
    <t>Pozemky 2021</t>
  </si>
  <si>
    <t>031.02</t>
  </si>
  <si>
    <t>031.03</t>
  </si>
  <si>
    <t>031.04</t>
  </si>
  <si>
    <t>Pozemky 2020</t>
  </si>
  <si>
    <t>Znak MO 2021</t>
  </si>
  <si>
    <t>Znak 2020</t>
  </si>
  <si>
    <t>Vše</t>
  </si>
  <si>
    <t>ZC nehmotný 2021</t>
  </si>
  <si>
    <t>ZC hmotný 2021</t>
  </si>
  <si>
    <t>ZC celkem 2021</t>
  </si>
  <si>
    <t>MHD</t>
  </si>
  <si>
    <t>Provozní A 2021</t>
  </si>
  <si>
    <t>celkem 2021</t>
  </si>
  <si>
    <t>1% provozních aktiv = přiměřený zisk</t>
  </si>
  <si>
    <t>za červen 2022</t>
  </si>
  <si>
    <t>Období:          2023 - Plán</t>
  </si>
  <si>
    <t>S</t>
  </si>
  <si>
    <t>https://portal.pohoda.cz/dane-ucetnictvi-mzdy/mzdy-a-prace/cestovni-nahrady-v-roce-2022/</t>
  </si>
  <si>
    <t>rok 2022</t>
  </si>
  <si>
    <t>https://www.czso.cz/csu/czso/indexy-cen-prumyslovych-vyrobcu-cervenec-2022</t>
  </si>
  <si>
    <t>2Q 2022</t>
  </si>
  <si>
    <t>Plánové Km na rok 2023 (bez zohlednění vánočního provozu a sportovních škol)</t>
  </si>
  <si>
    <t>rok 2023</t>
  </si>
  <si>
    <t>Autobusy 1Q</t>
  </si>
  <si>
    <t>Autobusy 2Q</t>
  </si>
  <si>
    <t>Autobusy 3Q</t>
  </si>
  <si>
    <t>Autobusy 4Q</t>
  </si>
  <si>
    <t>KM 2023 měsíční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</si>
  <si>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</si>
  <si>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</si>
  <si>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</si>
  <si>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</si>
  <si>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</si>
  <si>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</si>
  <si>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</si>
  <si>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</si>
  <si>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</si>
  <si>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</si>
  <si>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</si>
  <si>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</si>
  <si>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TBUS</t>
  </si>
  <si>
    <t>BUS</t>
  </si>
  <si>
    <t>Pracovní den</t>
  </si>
  <si>
    <t>SN+SV</t>
  </si>
  <si>
    <t>∑ km měsíční</t>
  </si>
  <si>
    <t>∑ km kvartál</t>
  </si>
  <si>
    <t>∑ km půlrok</t>
  </si>
  <si>
    <t>∑ km rok</t>
  </si>
  <si>
    <t>Martin Kuchař - e-mail 1.8.2022 (km roční)</t>
  </si>
  <si>
    <t>Martin Kuchař - e-mail 19.8.2022 (km měsíční)</t>
  </si>
  <si>
    <t>Optimalizace</t>
  </si>
  <si>
    <t>méně po optimalizaci</t>
  </si>
  <si>
    <t>Čistá indexace na 2023</t>
  </si>
  <si>
    <t>Kilometrová indexace na 2023</t>
  </si>
  <si>
    <t>% nárůst</t>
  </si>
  <si>
    <t>PHM</t>
  </si>
  <si>
    <t>bazický</t>
  </si>
  <si>
    <t>mzdový</t>
  </si>
  <si>
    <t>nárůst cen za 4 roky (19-23)</t>
  </si>
  <si>
    <t>Čistá indexace (smluvní km)</t>
  </si>
  <si>
    <t>Kilometrová indexace (plánované km)</t>
  </si>
  <si>
    <t>23.08.2022</t>
  </si>
  <si>
    <t>PERSPEKTIVA ÚČETNÍCH ODPISŮ NA ROK 2022</t>
  </si>
  <si>
    <t>Inventarni cislo</t>
  </si>
  <si>
    <t>Nazev</t>
  </si>
  <si>
    <t>Trida</t>
  </si>
  <si>
    <t>Rocni odpisova sazba</t>
  </si>
  <si>
    <t>Datum zarazeni</t>
  </si>
  <si>
    <t>Datum vyrazeni</t>
  </si>
  <si>
    <t>Vstupni cena</t>
  </si>
  <si>
    <t>Mesicni odpis</t>
  </si>
  <si>
    <t>Opravky do roku</t>
  </si>
  <si>
    <t>Ucetni odpis za rok</t>
  </si>
  <si>
    <t>Opravky</t>
  </si>
  <si>
    <t>Zustatkova hodnota</t>
  </si>
  <si>
    <t>012/11</t>
  </si>
  <si>
    <t>Trolejové vedení Kylešovic</t>
  </si>
  <si>
    <t>012/12</t>
  </si>
  <si>
    <t>Trolejove vedeni Bilovecka</t>
  </si>
  <si>
    <t>012/13</t>
  </si>
  <si>
    <t>Trolejove vedeni Praskova</t>
  </si>
  <si>
    <t>012/26</t>
  </si>
  <si>
    <t>Trolejové vedení I.stavba</t>
  </si>
  <si>
    <t>012/27</t>
  </si>
  <si>
    <t>Napajecí trakční kab. I.st</t>
  </si>
  <si>
    <t>012/4</t>
  </si>
  <si>
    <t>Trolej.ved. souhrnná karta</t>
  </si>
  <si>
    <t>012/43</t>
  </si>
  <si>
    <t>Podíl za přík.měnír. ve vl</t>
  </si>
  <si>
    <t>012/46</t>
  </si>
  <si>
    <t>Elektron.výhybka-Hypernova</t>
  </si>
  <si>
    <t>012/5</t>
  </si>
  <si>
    <t>Kabely stejnosměr.společné</t>
  </si>
  <si>
    <t>012/6</t>
  </si>
  <si>
    <t>Trakční kabeláž Mírova</t>
  </si>
  <si>
    <t>012/7</t>
  </si>
  <si>
    <t>Prodl.trolej.linky Purkyň.</t>
  </si>
  <si>
    <t>012/86</t>
  </si>
  <si>
    <t>Trolej.vedení N3 Sušilova</t>
  </si>
  <si>
    <t>012/87</t>
  </si>
  <si>
    <t>Trolej.vedení N5 Krnovská</t>
  </si>
  <si>
    <t>012/88</t>
  </si>
  <si>
    <t>Trolej.vedení N6 Breda</t>
  </si>
  <si>
    <t>012/92</t>
  </si>
  <si>
    <t>Trolej.ved. NÚ7 Záp.nádr.</t>
  </si>
  <si>
    <t>012/93</t>
  </si>
  <si>
    <t>Trolej.ved. N6 Globus</t>
  </si>
  <si>
    <t>012/95</t>
  </si>
  <si>
    <t>Trolej. ved. Globus</t>
  </si>
  <si>
    <t>012/96</t>
  </si>
  <si>
    <t>Trolej.vedení N2 Englišova</t>
  </si>
  <si>
    <t>012/97</t>
  </si>
  <si>
    <t>Trolej.ved. N8 Kylešovice</t>
  </si>
  <si>
    <t>012/98</t>
  </si>
  <si>
    <t>Trolej.ved.7 Východní nádr</t>
  </si>
  <si>
    <t>012/99</t>
  </si>
  <si>
    <t>Trolej.ved. NÚ1 Kateřinky</t>
  </si>
  <si>
    <t>Trol.vedení NÚ8 Kylešovice</t>
  </si>
  <si>
    <t>Stožáry TV-Dolní nám.</t>
  </si>
  <si>
    <t>Celkem třída  2</t>
  </si>
  <si>
    <t>014/44</t>
  </si>
  <si>
    <t>Ruční ohýbačka plechu</t>
  </si>
  <si>
    <t>014/46</t>
  </si>
  <si>
    <t>014/54</t>
  </si>
  <si>
    <t>Vrtačka sloupová</t>
  </si>
  <si>
    <t>014/56</t>
  </si>
  <si>
    <t>Soustruh hrotový</t>
  </si>
  <si>
    <t>014/65</t>
  </si>
  <si>
    <t>Soustruh hrotový SNA-Kyl.</t>
  </si>
  <si>
    <t>014/69</t>
  </si>
  <si>
    <t>Svářečka CO 2</t>
  </si>
  <si>
    <t>014/70</t>
  </si>
  <si>
    <t>Valcová stanice zkouš.brzd</t>
  </si>
  <si>
    <t>014/80</t>
  </si>
  <si>
    <t>Ohýbačka plechu - ruční</t>
  </si>
  <si>
    <t>014/96</t>
  </si>
  <si>
    <t>Hydraulický lis na svislé</t>
  </si>
  <si>
    <t>014/98</t>
  </si>
  <si>
    <t>Soupr.pro měření brzdných</t>
  </si>
  <si>
    <t>014/99</t>
  </si>
  <si>
    <t>Jámový zvedák elektrohydr.</t>
  </si>
  <si>
    <t>Tlakový čistič Nilfisk MH</t>
  </si>
  <si>
    <t>Lisovací kleště a nůžky</t>
  </si>
  <si>
    <t>Elektro-hydraulický zvedák</t>
  </si>
  <si>
    <t>Nákladní zouvačka pneu</t>
  </si>
  <si>
    <t>Vysokozdvižný vozík</t>
  </si>
  <si>
    <t>Kamerový systém Kylešovice</t>
  </si>
  <si>
    <t>Sušička vzduchu</t>
  </si>
  <si>
    <t>Celkem třída  3</t>
  </si>
  <si>
    <t>01144A</t>
  </si>
  <si>
    <t>TZ Garáže trol.Kylešovice</t>
  </si>
  <si>
    <t>01218A</t>
  </si>
  <si>
    <t>TZ Zpevněné plochy - I.st</t>
  </si>
  <si>
    <t>Celkem třída  4</t>
  </si>
  <si>
    <t>IVECO EuroCargo</t>
  </si>
  <si>
    <t>Celkem třída  6</t>
  </si>
  <si>
    <t>Předprodej-obslužný PC č.1</t>
  </si>
  <si>
    <t>Předprodej-LCD monitor č.1</t>
  </si>
  <si>
    <t>Předprodej-personifikator1</t>
  </si>
  <si>
    <t>Předprodej-obslužný PC č.2</t>
  </si>
  <si>
    <t>Předprodej-LCD monitor č.2</t>
  </si>
  <si>
    <t>Předprodej-personifikator2</t>
  </si>
  <si>
    <t>Předprodej-obslužný PC č.3</t>
  </si>
  <si>
    <t>Předprodej-LCD monitor č.3</t>
  </si>
  <si>
    <t>Předprodej-personifikator3</t>
  </si>
  <si>
    <t>Předprodej-tiskárna SP35</t>
  </si>
  <si>
    <t>Předprodej-tiskárna č.1</t>
  </si>
  <si>
    <t>Předprodej-tiskárna č.2</t>
  </si>
  <si>
    <t>Předprodej-tiskárna č.3</t>
  </si>
  <si>
    <t>Předprodej-HP ScanJet</t>
  </si>
  <si>
    <t>Přepr.kontrola-telefunken1</t>
  </si>
  <si>
    <t>Přepr.kontrola-telefunken2</t>
  </si>
  <si>
    <t>NOS</t>
  </si>
  <si>
    <t>Celkem třída  7</t>
  </si>
  <si>
    <t>012/85</t>
  </si>
  <si>
    <t>Trolej.vedeni-Jaktař-kruho</t>
  </si>
  <si>
    <t>012/91</t>
  </si>
  <si>
    <t>Tr.vedení Bílovecká-II.eta</t>
  </si>
  <si>
    <t>Celkem třída 17</t>
  </si>
  <si>
    <t>011/12</t>
  </si>
  <si>
    <t>Čekárna Olomoucká zast.nem</t>
  </si>
  <si>
    <t>011/15</t>
  </si>
  <si>
    <t>Čekárna a WC Bílovecká</t>
  </si>
  <si>
    <t>011/20</t>
  </si>
  <si>
    <t>Hygienické zař. Karlovec</t>
  </si>
  <si>
    <t>011/24</t>
  </si>
  <si>
    <t>Čekárna a WC Purkyňova</t>
  </si>
  <si>
    <t>011/28</t>
  </si>
  <si>
    <t>Mob.buňka Kyleš. u školy</t>
  </si>
  <si>
    <t>011/46</t>
  </si>
  <si>
    <t>Mob.buňka-Suché Lazce-toč.</t>
  </si>
  <si>
    <t>011/48</t>
  </si>
  <si>
    <t>Soc.zař.  Podvihov-buňka</t>
  </si>
  <si>
    <t>011/60</t>
  </si>
  <si>
    <t>Hygienické zař. Držkovice</t>
  </si>
  <si>
    <t>011/61</t>
  </si>
  <si>
    <t>TZ-hygien.zař.Chvalíkovice</t>
  </si>
  <si>
    <t>011/62</t>
  </si>
  <si>
    <t>Čekárna a WC točna Kateřin</t>
  </si>
  <si>
    <t>Celkem třída 21</t>
  </si>
  <si>
    <t>011/16</t>
  </si>
  <si>
    <t>Výpravní budova Kylešovice</t>
  </si>
  <si>
    <t>011/44</t>
  </si>
  <si>
    <t>Garáže trolejb. Kyl. I.st.</t>
  </si>
  <si>
    <t>011/45</t>
  </si>
  <si>
    <t>Kotelna Kylešovice I.stav.</t>
  </si>
  <si>
    <t>011/47</t>
  </si>
  <si>
    <t>Garaže obsl.voz.Kyleš.I.st</t>
  </si>
  <si>
    <t>011/50</t>
  </si>
  <si>
    <t>Stav.úpr.předpr.jízd.ve vl</t>
  </si>
  <si>
    <t>012/14</t>
  </si>
  <si>
    <t>Příjezdová komuni.I.stavba</t>
  </si>
  <si>
    <t>012/16</t>
  </si>
  <si>
    <t>Zatrubnění potoka I.stavba</t>
  </si>
  <si>
    <t>012/17</t>
  </si>
  <si>
    <t>Příprava území I.stavba</t>
  </si>
  <si>
    <t>012/18</t>
  </si>
  <si>
    <t>Zpevněné plochy I.stavba</t>
  </si>
  <si>
    <t>012/20</t>
  </si>
  <si>
    <t>Vodovod v závodě 1.stavba</t>
  </si>
  <si>
    <t>012/21</t>
  </si>
  <si>
    <t>Kanaliz.splašková 1.stavba</t>
  </si>
  <si>
    <t>012/22</t>
  </si>
  <si>
    <t>Kanaliz. dešťová  I.stavba</t>
  </si>
  <si>
    <t>012/23</t>
  </si>
  <si>
    <t>Lapač olejů I.stavba</t>
  </si>
  <si>
    <t>012/24</t>
  </si>
  <si>
    <t>Teplovodní rozvody 1.stav.</t>
  </si>
  <si>
    <t>012/25</t>
  </si>
  <si>
    <t>Rozvody NN        I.stavba</t>
  </si>
  <si>
    <t>012/28</t>
  </si>
  <si>
    <t>Vnější sděl.rozvody I.sta.</t>
  </si>
  <si>
    <t>012/30</t>
  </si>
  <si>
    <t>Plynovod v závodě I.stavba</t>
  </si>
  <si>
    <t>012/33</t>
  </si>
  <si>
    <t>Vodovodní přípojka I.stav.</t>
  </si>
  <si>
    <t>012/34</t>
  </si>
  <si>
    <t>Sejmutí ornice I.stavba</t>
  </si>
  <si>
    <t>012/42</t>
  </si>
  <si>
    <t>Trafostanice 22 kV Kyleš.</t>
  </si>
  <si>
    <t>012/44</t>
  </si>
  <si>
    <t>Komunik.toč.Kateř.   ve vl</t>
  </si>
  <si>
    <t>012/90</t>
  </si>
  <si>
    <t>Vodovod. přípojka Kylešovi</t>
  </si>
  <si>
    <t>Celkem třída 22</t>
  </si>
  <si>
    <t>011/55</t>
  </si>
  <si>
    <t>Hygienické zař. Hypernova</t>
  </si>
  <si>
    <t>012/94</t>
  </si>
  <si>
    <t>Přístřešek pro kola Kyleš.</t>
  </si>
  <si>
    <t>Celkem třída 23</t>
  </si>
  <si>
    <t>012/74</t>
  </si>
  <si>
    <t>Trolejové vedení II. st.</t>
  </si>
  <si>
    <t>Celkem třída 24</t>
  </si>
  <si>
    <t>011/53</t>
  </si>
  <si>
    <t>Tech.zhod.Čajkovského měň.</t>
  </si>
  <si>
    <t>011/54</t>
  </si>
  <si>
    <t>Tech.zhod.Kylešovská měnír</t>
  </si>
  <si>
    <t>012/66</t>
  </si>
  <si>
    <t>Trolejové ved. Hypernova</t>
  </si>
  <si>
    <t>Celkem třída 25</t>
  </si>
  <si>
    <t>Skibox VDL 9010</t>
  </si>
  <si>
    <t>Celkem třída 26</t>
  </si>
  <si>
    <t>011/31</t>
  </si>
  <si>
    <t>Měnírna Čajkovského č.2696</t>
  </si>
  <si>
    <t>011/39</t>
  </si>
  <si>
    <t>Měnírna Kylešovska č.2695</t>
  </si>
  <si>
    <t>Celkem třída 27</t>
  </si>
  <si>
    <t>011/57</t>
  </si>
  <si>
    <t>Vrátnice-výpr.bud. II.st</t>
  </si>
  <si>
    <t>011/58</t>
  </si>
  <si>
    <t>Opravna trolejbusů II. st.</t>
  </si>
  <si>
    <t>012/68</t>
  </si>
  <si>
    <t>Terénní úpravy II. st.</t>
  </si>
  <si>
    <t>012/69</t>
  </si>
  <si>
    <t>Zpevněné plochy II. st.</t>
  </si>
  <si>
    <t>012/70</t>
  </si>
  <si>
    <t>Kanalizace splašková II.st</t>
  </si>
  <si>
    <t>012/71</t>
  </si>
  <si>
    <t>Kanalizace dešťová II st.</t>
  </si>
  <si>
    <t>012/72</t>
  </si>
  <si>
    <t>Vodovod v závodě II.st</t>
  </si>
  <si>
    <t>012/73</t>
  </si>
  <si>
    <t>Oplocení areálu II. st.</t>
  </si>
  <si>
    <t>012/75</t>
  </si>
  <si>
    <t>Recirkulační nádrž II.st.</t>
  </si>
  <si>
    <t>012/76</t>
  </si>
  <si>
    <t>Kabelové rozvody NN II.st.</t>
  </si>
  <si>
    <t>012/77</t>
  </si>
  <si>
    <t>Osvětlení nádvoří II.st.</t>
  </si>
  <si>
    <t>012/78</t>
  </si>
  <si>
    <t>Vnější sdělova.rozv.II.st.</t>
  </si>
  <si>
    <t>012/80</t>
  </si>
  <si>
    <t>Venkovní plynovod  II.st.</t>
  </si>
  <si>
    <t>012/82</t>
  </si>
  <si>
    <t>Protihluková stěna  II.st.</t>
  </si>
  <si>
    <t>012/83</t>
  </si>
  <si>
    <t>Čerpací stanice poh.hmot</t>
  </si>
  <si>
    <t>012/84</t>
  </si>
  <si>
    <t>Čistírna odpadních vod</t>
  </si>
  <si>
    <t>Celkem třída 29</t>
  </si>
  <si>
    <t>014/97</t>
  </si>
  <si>
    <t>Nádrž tankovací BlueMaster</t>
  </si>
  <si>
    <t>Výdejní stojan PHM</t>
  </si>
  <si>
    <t>Celkem třída 30</t>
  </si>
  <si>
    <t>013/15</t>
  </si>
  <si>
    <t>Zaříz.měnírny Čajkovského</t>
  </si>
  <si>
    <t>013/16</t>
  </si>
  <si>
    <t>Zaříz. měnírny Kylešovska</t>
  </si>
  <si>
    <t>013/21</t>
  </si>
  <si>
    <t>Napájecí skř.měnír.Čajk.</t>
  </si>
  <si>
    <t>013/22</t>
  </si>
  <si>
    <t>013/23</t>
  </si>
  <si>
    <t>Odvlhčovač Trion vrch.ved.</t>
  </si>
  <si>
    <t>013/34</t>
  </si>
  <si>
    <t>Elektrocentrala Čajk.</t>
  </si>
  <si>
    <t>Celkem třída 31</t>
  </si>
  <si>
    <t>013/24</t>
  </si>
  <si>
    <t>Elektrofiltr Trion</t>
  </si>
  <si>
    <t>013/30</t>
  </si>
  <si>
    <t>Elektrofiltr Trion PAC 10E</t>
  </si>
  <si>
    <t>013/37</t>
  </si>
  <si>
    <t>ROBINAIR AC 690PRO</t>
  </si>
  <si>
    <t>014/72</t>
  </si>
  <si>
    <t>Olejová plechová nádrž</t>
  </si>
  <si>
    <t>014/82</t>
  </si>
  <si>
    <t>Vozík na montáž a demontáž</t>
  </si>
  <si>
    <t>014/95</t>
  </si>
  <si>
    <t>Lešení</t>
  </si>
  <si>
    <t>Mobilní montážní plošina</t>
  </si>
  <si>
    <t>Třídička mincí REIS CS3515</t>
  </si>
  <si>
    <t>UPS-záložní zdroj EATON</t>
  </si>
  <si>
    <t>Automatické závory</t>
  </si>
  <si>
    <t>Indukční ohřev JOSAM</t>
  </si>
  <si>
    <t>Traktor travní KARSIT</t>
  </si>
  <si>
    <t>Celkem třída 32</t>
  </si>
  <si>
    <t>015/63</t>
  </si>
  <si>
    <t>Psaci stroj Robotron S6130</t>
  </si>
  <si>
    <t>015/72</t>
  </si>
  <si>
    <t>Třídička mincí NGZ 504E</t>
  </si>
  <si>
    <t>015/73</t>
  </si>
  <si>
    <t>Třídička mincí NGZ 6009</t>
  </si>
  <si>
    <t>015/74</t>
  </si>
  <si>
    <t>Počítačka mincí NGZ 504 E</t>
  </si>
  <si>
    <t>015/76</t>
  </si>
  <si>
    <t>Počítačka mincí NGZ 6099D</t>
  </si>
  <si>
    <t>015/92</t>
  </si>
  <si>
    <t>Bar.televizor-Tesla Orava</t>
  </si>
  <si>
    <t>015/94</t>
  </si>
  <si>
    <t>PC č.  27  s příslušen.</t>
  </si>
  <si>
    <t>Kopírka minolta EP-70</t>
  </si>
  <si>
    <t>Přenos.radios.-vysílač.mob</t>
  </si>
  <si>
    <t>Přenos.radios.-vysilač.mob</t>
  </si>
  <si>
    <t>Váha s příslušenstvím</t>
  </si>
  <si>
    <t>Třídička min. Sortovit MSG</t>
  </si>
  <si>
    <t>Telefonní ústředna-Kyl.</t>
  </si>
  <si>
    <t>Celkem třída 33</t>
  </si>
  <si>
    <t>Počítačový server</t>
  </si>
  <si>
    <t>Záložní zdroj UPS</t>
  </si>
  <si>
    <t>Záložní zdroj APC Smart</t>
  </si>
  <si>
    <t>Celkem třída 34</t>
  </si>
  <si>
    <t>013/35</t>
  </si>
  <si>
    <t>Dálkové ovl.měníren DO-93</t>
  </si>
  <si>
    <t>Celkem třída 35</t>
  </si>
  <si>
    <t>012/81</t>
  </si>
  <si>
    <t>Optická síť trak.ved.PC 56</t>
  </si>
  <si>
    <t>Celkem třída 36</t>
  </si>
  <si>
    <t>Základnová radiostanice</t>
  </si>
  <si>
    <t>Vozidlová radiostanice</t>
  </si>
  <si>
    <t>Ruční radiostanice</t>
  </si>
  <si>
    <t>Radiovy datovy spoj</t>
  </si>
  <si>
    <t>Celkem třída 38</t>
  </si>
  <si>
    <t>013/38</t>
  </si>
  <si>
    <t>Elektrohydr. pohon vrat</t>
  </si>
  <si>
    <t>013/39</t>
  </si>
  <si>
    <t>Zař. na rozmrazování TV</t>
  </si>
  <si>
    <t>013/40</t>
  </si>
  <si>
    <t>Zař.automat.poč. cestující</t>
  </si>
  <si>
    <t>014/83</t>
  </si>
  <si>
    <t>Mycí stroj - DHDS 801 E</t>
  </si>
  <si>
    <t>014/89</t>
  </si>
  <si>
    <t>Štěrbinový sací kanál</t>
  </si>
  <si>
    <t>014/90</t>
  </si>
  <si>
    <t>014/91</t>
  </si>
  <si>
    <t>Stroj na brzdové bubny</t>
  </si>
  <si>
    <t>Myčka Tammermatic</t>
  </si>
  <si>
    <t>Tiskárna Star TSP143U</t>
  </si>
  <si>
    <t>Personifikátor EM520i-T</t>
  </si>
  <si>
    <t>Celkem třída 40</t>
  </si>
  <si>
    <t>Historická tramvaj č.4</t>
  </si>
  <si>
    <t>Celkem třída 42</t>
  </si>
  <si>
    <t>011/59</t>
  </si>
  <si>
    <t>Budova předprodeje -TZ</t>
  </si>
  <si>
    <t>Celkem třída 43</t>
  </si>
  <si>
    <t>Zabezpeč.zař. objektu voz.</t>
  </si>
  <si>
    <t>Celkem třída 44</t>
  </si>
  <si>
    <t>LED panel ASLED 192x32</t>
  </si>
  <si>
    <t>Celkem třída 45</t>
  </si>
  <si>
    <t>IZ sloupek Vlaštovičky-Luž</t>
  </si>
  <si>
    <t>IZ sloupek Vrchní</t>
  </si>
  <si>
    <t>IZ sloupek Dolní nám.</t>
  </si>
  <si>
    <t>IZ sloupek Divadlo</t>
  </si>
  <si>
    <t>IZ sloupek Divadlo Čapkova</t>
  </si>
  <si>
    <t>Celkem třída 47</t>
  </si>
  <si>
    <t>IZ Vlaštovičky-Lužní SOLAR</t>
  </si>
  <si>
    <t>IZ Vrchní SOLAR2</t>
  </si>
  <si>
    <t>IZ Východní nádraží TV1</t>
  </si>
  <si>
    <t>IZ Východní nádraží TV2</t>
  </si>
  <si>
    <t>IZ Stará silnice TV3</t>
  </si>
  <si>
    <t>IZ SME TV4</t>
  </si>
  <si>
    <t>IZ U soudu TV5</t>
  </si>
  <si>
    <t>IZ Těšínská TV6</t>
  </si>
  <si>
    <t>IZ Nemocnice TV7</t>
  </si>
  <si>
    <t>IZ Ratibořská TV8</t>
  </si>
  <si>
    <t>IZ Holasická TV9</t>
  </si>
  <si>
    <t>IZ Bílovecká TV10</t>
  </si>
  <si>
    <t>IZ Vaníčkova TV11</t>
  </si>
  <si>
    <t>IZ Praskova TV12</t>
  </si>
  <si>
    <t>IZ Praskova TV13</t>
  </si>
  <si>
    <t>IZ Dolní náměstí TV14</t>
  </si>
  <si>
    <t>IZ Dolní náměstí TV15</t>
  </si>
  <si>
    <t>IZ Divadlo TV16</t>
  </si>
  <si>
    <t>IZ Divadlo TV17</t>
  </si>
  <si>
    <t>IZ Divadlo-Čapkova TV18</t>
  </si>
  <si>
    <t>IZ řídící HW</t>
  </si>
  <si>
    <t>IZ Točna Kateřinky</t>
  </si>
  <si>
    <t>IZ Albert</t>
  </si>
  <si>
    <t>IZ Globus</t>
  </si>
  <si>
    <t>IZ Městský hřbitov</t>
  </si>
  <si>
    <t>IZ Jaktař - směr Divadlo</t>
  </si>
  <si>
    <t>Celkem třída 48</t>
  </si>
  <si>
    <t>Trolejbus č.314 Škoda 32Tr</t>
  </si>
  <si>
    <t>Trolejbus č.315 Škoda 32Tr</t>
  </si>
  <si>
    <t>Trolejbus č.316 Škoda 32Tr</t>
  </si>
  <si>
    <t>Trolejbus č.317 Škoda 32Tr</t>
  </si>
  <si>
    <t>Trolejbus č.318 Škoda 32Tr</t>
  </si>
  <si>
    <t>Trolejbus č.319 Škoda 32Tr</t>
  </si>
  <si>
    <t>Trolejbus č.320 Škoda 32Tr</t>
  </si>
  <si>
    <t>Trolejbus č.321 Škoda 32Tr</t>
  </si>
  <si>
    <t>Trolejbus č.322 Škoda 32Tr</t>
  </si>
  <si>
    <t>Trolejbus č.323 Škoda 32Tr</t>
  </si>
  <si>
    <t>Celkem třída 49</t>
  </si>
  <si>
    <t>IS - Tiskárna + licence</t>
  </si>
  <si>
    <t>IS - Stolní počítač</t>
  </si>
  <si>
    <t>IS-Snímač-docház. systém</t>
  </si>
  <si>
    <t>IS-Snímač docház. systém</t>
  </si>
  <si>
    <t>IS - Server č. 1</t>
  </si>
  <si>
    <t>IS - Server č. 2</t>
  </si>
  <si>
    <t>IS- Záložní zdroj</t>
  </si>
  <si>
    <t>IS - Zálohovací zařízení</t>
  </si>
  <si>
    <t>IS - NETWORKING</t>
  </si>
  <si>
    <t>Celkem třída 53</t>
  </si>
  <si>
    <t>Trolejbus Škoda č. 324</t>
  </si>
  <si>
    <t>Trolejbus Škoda č. 325</t>
  </si>
  <si>
    <t>Trolejbus Škoda č. 326</t>
  </si>
  <si>
    <t>Trolejbus Škoda č. 327</t>
  </si>
  <si>
    <t>Trolejbus Škoda č. 328</t>
  </si>
  <si>
    <t>Celkem třída 54</t>
  </si>
  <si>
    <t>Autobus č.162 CNG 9T4 8273</t>
  </si>
  <si>
    <t>Autobus č.163 CNG 9T4 8274</t>
  </si>
  <si>
    <t>Autobus č.164 CNG 9T4 8275</t>
  </si>
  <si>
    <t>Autobus č.165 CNG 9T4 8276</t>
  </si>
  <si>
    <t>Autobus č.166 CNG 9T4 8277</t>
  </si>
  <si>
    <t>Autobus č.169 CNG 9T4 8290</t>
  </si>
  <si>
    <t>Autobus č.170 CNG 9T4 8291</t>
  </si>
  <si>
    <t>Autobus č.171 CNG 9T4 8292</t>
  </si>
  <si>
    <t>Autobus č.172 CNG 9T4 8293</t>
  </si>
  <si>
    <t>Autobus č.173 CNG 9T4 8294</t>
  </si>
  <si>
    <t>Autobus č.174 CNG 9T4 8295</t>
  </si>
  <si>
    <t>Autobus č.175 CNG 9T4 8296</t>
  </si>
  <si>
    <t>Autobus č.176 CNG 9T4 8297</t>
  </si>
  <si>
    <t>Autobus č.167 CNG 9T4 8278</t>
  </si>
  <si>
    <t>Autobus č.168 CNG 9T4 8279</t>
  </si>
  <si>
    <t>Autobus SOR 2TD 4579</t>
  </si>
  <si>
    <t>Autobus SOR 2TD 4583</t>
  </si>
  <si>
    <t>Autobus SOR 2TD 4582</t>
  </si>
  <si>
    <t>Autobus SOR 2TD 4581</t>
  </si>
  <si>
    <t>Autobus SOR 2TD 4580</t>
  </si>
  <si>
    <t>Celkem třída 56</t>
  </si>
  <si>
    <t>Trolejbus č.307 Škoda 26Tr</t>
  </si>
  <si>
    <t>Trolejbus č.308 Škoda 26Tr</t>
  </si>
  <si>
    <t>Trolejbus č.309 Škoda 26Tr</t>
  </si>
  <si>
    <t>Trolejbus č.310 Škoda 26Tr</t>
  </si>
  <si>
    <t>Trolejbus č.311 Škoda 26Tr</t>
  </si>
  <si>
    <t>Trolejbus č.312 Škoda 26Tr</t>
  </si>
  <si>
    <t>Trolejbus č.313 Škoda 26Tr</t>
  </si>
  <si>
    <t>Celkem třída 57</t>
  </si>
  <si>
    <t>Autobus 148 Cit. 7T4 8155</t>
  </si>
  <si>
    <t>Autobus 149 Cit. 7T4 8156</t>
  </si>
  <si>
    <t>Autobus 150 Cit. 7T4 8157</t>
  </si>
  <si>
    <t>Autobus 151 Cit. 7T4 8158</t>
  </si>
  <si>
    <t>Autobus 152 Cit. 7T4 8159</t>
  </si>
  <si>
    <t>Autobus 153 Cit. 7T4 8160</t>
  </si>
  <si>
    <t>Autobus 154 Cit. 7T4 8161</t>
  </si>
  <si>
    <t>Autobus 155 Cit. 7T4 8162</t>
  </si>
  <si>
    <t>Autobus 156 Cit. 7T4 8163</t>
  </si>
  <si>
    <t>Autobus 157 Cit. 7T4 8164</t>
  </si>
  <si>
    <t>Autobus 158 Cit. 7T8 5494</t>
  </si>
  <si>
    <t>Autobus 159 Cit. 7T8 5495</t>
  </si>
  <si>
    <t>Celkem třída 58</t>
  </si>
  <si>
    <t>Trolejbus č.301-Škoda 26Tr</t>
  </si>
  <si>
    <t>Trolejbus č.302-Škoda 26Tr</t>
  </si>
  <si>
    <t>Trolejbus č.303-Škoda 26Tr</t>
  </si>
  <si>
    <t>Trolejbus č.304-Škoda 26Tr</t>
  </si>
  <si>
    <t>Trolejbus č.305 Škoda 26Tr</t>
  </si>
  <si>
    <t>Trolejbus č.306 Škoda 26Tr</t>
  </si>
  <si>
    <t>Celkem třída 59</t>
  </si>
  <si>
    <t>Trolejbus č.92 DUO</t>
  </si>
  <si>
    <t>Trolejbus č.93-DUO</t>
  </si>
  <si>
    <t>Trolejbus č.94-DUO</t>
  </si>
  <si>
    <t>Trolejbus č.95-DUO</t>
  </si>
  <si>
    <t>Trolejbus č.97-DUO</t>
  </si>
  <si>
    <t>Celkem třída 60</t>
  </si>
  <si>
    <t>Stojanový zvedák-Kyleš.</t>
  </si>
  <si>
    <t>Seřizování geometrie MOTEX</t>
  </si>
  <si>
    <t>El. mechanický zvedák-Kyl.</t>
  </si>
  <si>
    <t>Ekolog.mycí stůl s přísl.</t>
  </si>
  <si>
    <t>Boiler elektrický</t>
  </si>
  <si>
    <t>Kanálový zvedák</t>
  </si>
  <si>
    <t>Elektro-utahovák MAX</t>
  </si>
  <si>
    <t>Zařízení na měř.emis.ve vl</t>
  </si>
  <si>
    <t>Elektrohydr.jámový zvedák</t>
  </si>
  <si>
    <t>Celkem třída 61</t>
  </si>
  <si>
    <t>Trolejbus č.58</t>
  </si>
  <si>
    <t>Traktor kolový OP 67-81</t>
  </si>
  <si>
    <t>Celkem třída 62</t>
  </si>
  <si>
    <t>Autobus č.143 Urb 2T6 3904</t>
  </si>
  <si>
    <t>Autobus č.144 URB 2T6 3905</t>
  </si>
  <si>
    <t>Autobus 145 URB 3T4 6762</t>
  </si>
  <si>
    <t>Autobus 146 Urb 3T4 7037</t>
  </si>
  <si>
    <t>Autobus 147 Solar.3T7 9147</t>
  </si>
  <si>
    <t>Autobus 160 Cit. 7T8 5496</t>
  </si>
  <si>
    <t>Autobus 161 Cit. 7T8 5497</t>
  </si>
  <si>
    <t>Autobus A204 2T9 7504</t>
  </si>
  <si>
    <t>VDL Zájezdový autobus</t>
  </si>
  <si>
    <t>Celkem třída 63</t>
  </si>
  <si>
    <t>Caddy Trendline 1TB 1569</t>
  </si>
  <si>
    <t>Caddy Trendline 1TB 1598</t>
  </si>
  <si>
    <t>Celkem třída 64</t>
  </si>
  <si>
    <t>Caddy Trendline 1TB 1567</t>
  </si>
  <si>
    <t>Škoda Rapid</t>
  </si>
  <si>
    <t>OCTAVIA COMBI 1TP 8688</t>
  </si>
  <si>
    <t>Celkem třída 65</t>
  </si>
  <si>
    <t>OPN 65-28 - Plošina</t>
  </si>
  <si>
    <t>Montážní plošina Renault</t>
  </si>
  <si>
    <t>Celkem třída 67</t>
  </si>
  <si>
    <t>TREZOR vkládání hotovosti</t>
  </si>
  <si>
    <t>017/5</t>
  </si>
  <si>
    <t>Trezor LCN-50-III</t>
  </si>
  <si>
    <t>Celkem třída 71</t>
  </si>
  <si>
    <t>01218B</t>
  </si>
  <si>
    <t>CNG-zpevněná plocha A</t>
  </si>
  <si>
    <t>01218C</t>
  </si>
  <si>
    <t>CNG-kabelové rozvody NN</t>
  </si>
  <si>
    <t>01218D</t>
  </si>
  <si>
    <t>CNG-zpevněná plocha B</t>
  </si>
  <si>
    <t>01226A</t>
  </si>
  <si>
    <t>CNG-trolejové vedení - A</t>
  </si>
  <si>
    <t>01226B</t>
  </si>
  <si>
    <t>CNG-trolejové vedení - B</t>
  </si>
  <si>
    <t>01269A</t>
  </si>
  <si>
    <t>CNG-zpevněná plocha C</t>
  </si>
  <si>
    <t>Celkem třída 81</t>
  </si>
  <si>
    <t>01158B</t>
  </si>
  <si>
    <t>CNG-úprava dílen</t>
  </si>
  <si>
    <t>Celkem třída 82</t>
  </si>
  <si>
    <t>CNG-PS-plocha A-st.</t>
  </si>
  <si>
    <t>CNG-PS-plocha B-st</t>
  </si>
  <si>
    <t>CNG-PS-plocha C-st.</t>
  </si>
  <si>
    <t>Celkem třída 83</t>
  </si>
  <si>
    <t>CNG-Kompresor S755F3-EM</t>
  </si>
  <si>
    <t>CNG-Výdej.stojan ESP 22/3</t>
  </si>
  <si>
    <t>CNG-Výdej.stojan OPW 5000</t>
  </si>
  <si>
    <t>CNG-Výdej.stojan ESP 11/1</t>
  </si>
  <si>
    <t>CNG-Výdej.stojan ESV 20/1</t>
  </si>
  <si>
    <t>CNG-Výdej-stojan ESV 20/1</t>
  </si>
  <si>
    <t>CNG-kartový term.UNIDATAZ</t>
  </si>
  <si>
    <t>Celkem třída 84</t>
  </si>
  <si>
    <t>CNG-bezpečn.signaliz.dílna</t>
  </si>
  <si>
    <t>Celkem třída 85</t>
  </si>
  <si>
    <t>DATAsoftware s.r.o.</t>
  </si>
  <si>
    <t>nový 2022</t>
  </si>
  <si>
    <t xml:space="preserve">                ……………</t>
  </si>
  <si>
    <t>PLÁN INVESTIC, MODERNIZACÍ A REKONSTRUKCÍ,      ROK 2022</t>
  </si>
  <si>
    <t>Schváleno na zas.PS:</t>
  </si>
  <si>
    <t>Datum</t>
  </si>
  <si>
    <t>Investice</t>
  </si>
  <si>
    <t>Realizace</t>
  </si>
  <si>
    <t>Platba</t>
  </si>
  <si>
    <t>Zařazení (odpis)</t>
  </si>
  <si>
    <t>Náklad,oprava</t>
  </si>
  <si>
    <t>Majetek,investice</t>
  </si>
  <si>
    <t>Plán.cena celkem 2022</t>
  </si>
  <si>
    <t>Dotace</t>
  </si>
  <si>
    <t>Cena mínus dotace</t>
  </si>
  <si>
    <t>Skut.cena</t>
  </si>
  <si>
    <t>Rozdíl</t>
  </si>
  <si>
    <t>A.Stavební</t>
  </si>
  <si>
    <t>Rekonstrukce bývalé kotelny, cena z rozpočtu- 5 344 194 Kč (bez dotace)</t>
  </si>
  <si>
    <t>05-12/2022</t>
  </si>
  <si>
    <t>průběžně</t>
  </si>
  <si>
    <t>12/2022</t>
  </si>
  <si>
    <t>Ano</t>
  </si>
  <si>
    <t>Rekonstrukce a modernizace vytápění objektu správy a opravny s využitím FVE (dotace 60%)</t>
  </si>
  <si>
    <t>09/2022</t>
  </si>
  <si>
    <t>10/2022</t>
  </si>
  <si>
    <t>Rekonstrukce vrat vozovny, II.část (hala trolejbusy) (bez dotace)</t>
  </si>
  <si>
    <t>01-09/2022</t>
  </si>
  <si>
    <t>08/2022</t>
  </si>
  <si>
    <t>Sociální buňka řidičů, Suché Lazce- Přerovec (bez dotace)</t>
  </si>
  <si>
    <t>05/2022</t>
  </si>
  <si>
    <t>Sociální buňka řidičů, Karlovec (bez dotace)</t>
  </si>
  <si>
    <t>Výstavba parkoviště zaměstnanců (výstavba has.zbrojnice) (bez dotace)</t>
  </si>
  <si>
    <t>06/2022</t>
  </si>
  <si>
    <t>Rekonstrukce přístupového chodníku do areálu, (výstavba has.zbrojnice) (bez dotace)</t>
  </si>
  <si>
    <t>11/2022</t>
  </si>
  <si>
    <t>Rekonstrukce trolej.úseku Bílovecká (bez dotace)</t>
  </si>
  <si>
    <t xml:space="preserve">Oprava a technické zhodnocení lapolu dešťových vod </t>
  </si>
  <si>
    <t>Rekontrukce vnitřní dispozice vrátnice (bez dotace)</t>
  </si>
  <si>
    <t>03-09/2022</t>
  </si>
  <si>
    <t>Odhlučnění kontejnerů plničky CNG</t>
  </si>
  <si>
    <t>01-03/2022</t>
  </si>
  <si>
    <t>04/2022</t>
  </si>
  <si>
    <t>Výměna vstupních dveří a okna vrátnice (bez dotace), technické zhodnocení stavu</t>
  </si>
  <si>
    <t>09-10/2022</t>
  </si>
  <si>
    <t>Celkem  stavební:</t>
  </si>
  <si>
    <t>B.Strojní</t>
  </si>
  <si>
    <t>Válcová zkušebna brzd vozidel (bez dotace)</t>
  </si>
  <si>
    <t>07/2022</t>
  </si>
  <si>
    <t>Speciální víceúčelový automobil (nosič nástaveb),(bez dotace)</t>
  </si>
  <si>
    <t>Kompresor se sušičkou pro ovládání plnění CNG (bez dotace)</t>
  </si>
  <si>
    <t>Celkem  strojní:</t>
  </si>
  <si>
    <t>C.Ostatní</t>
  </si>
  <si>
    <t>PD, úpravy vytápění objektů depa, FVE, včetně nabíjení EB (dotace)</t>
  </si>
  <si>
    <t>ANO?</t>
  </si>
  <si>
    <t xml:space="preserve">Obnova SW a HW (počítače, licence aj.)  </t>
  </si>
  <si>
    <t>1-12/2022</t>
  </si>
  <si>
    <t>ANO</t>
  </si>
  <si>
    <t>Kybernetická bezpečnost (dotace)</t>
  </si>
  <si>
    <t>9-12/2022</t>
  </si>
  <si>
    <t>Digitalizace sítí MDPO včetně SW (zrušeno)</t>
  </si>
  <si>
    <t>PD, rekonstrukce trolej.vedení křižovatky Praskova-Komenského (dotace)(SP)</t>
  </si>
  <si>
    <t>02/2022</t>
  </si>
  <si>
    <t>PD, rekonstrukce trolej.vedení na ul.Purkyňova (dotace)(SP+ real.)</t>
  </si>
  <si>
    <t>PD, montáž FVE na budovu sociálního zázemí řidičů Kateřinky</t>
  </si>
  <si>
    <t>Pořízení nového SW ekonomického systému (bez dotace)</t>
  </si>
  <si>
    <t>Celkem  ostatní:</t>
  </si>
  <si>
    <t>Celkem  A,B,C:</t>
  </si>
  <si>
    <t>D.Projekty investiční</t>
  </si>
  <si>
    <t>Rekonstrukce a modernizace měníren (od 4/2022, dotace 85%- průběžné propl.do konce roku)</t>
  </si>
  <si>
    <t>04-12/2022</t>
  </si>
  <si>
    <t>1/2023</t>
  </si>
  <si>
    <t>x</t>
  </si>
  <si>
    <t>Pořízení 3 ks trolejbusů (dotace 85 %), rok 2023</t>
  </si>
  <si>
    <t>08/2023</t>
  </si>
  <si>
    <t>09/2023</t>
  </si>
  <si>
    <t>Celkem projekty:</t>
  </si>
  <si>
    <t>CELKEM PLÁNOVANÉ INVESTICE 2021 (projekty a ostatní):</t>
  </si>
  <si>
    <t>CELKEM PLÁNOVANÉ INVESTICE 2021, vče.DPH:</t>
  </si>
  <si>
    <t>Krátk.profinancování, potřeba vůči stavu účtu</t>
  </si>
  <si>
    <t>Pozn.:</t>
  </si>
  <si>
    <t>Dotační projekty nutno krátkodobě profinancovat tzn.zaplatit celou částku bez dotace a také včetně DPH!</t>
  </si>
  <si>
    <t>VDL (Senior TAXi a TESCO bus už odepsané do nuly)</t>
  </si>
  <si>
    <t>Odhadovaná skutečnost 2022</t>
  </si>
  <si>
    <t>Zůstatková cena majetku 2022</t>
  </si>
  <si>
    <t>provozní aktiva k 31.12.2022 - plán 2023</t>
  </si>
  <si>
    <t>zůstatková cena majetku 2022 - plán 2023</t>
  </si>
  <si>
    <t>perspektiva odpisů DHM 2021 (23.8.2022)</t>
  </si>
  <si>
    <t>perspektiva odpisů DNM 2022 (13.8.2021)</t>
  </si>
  <si>
    <t xml:space="preserve">HMM </t>
  </si>
  <si>
    <t>010/1</t>
  </si>
  <si>
    <t>Program jízdní řády</t>
  </si>
  <si>
    <t>010/12</t>
  </si>
  <si>
    <t>SERVER -software NETWARE</t>
  </si>
  <si>
    <t>010/13</t>
  </si>
  <si>
    <t>Software FS prohl.vozidel</t>
  </si>
  <si>
    <t>010/14</t>
  </si>
  <si>
    <t>Software  FS evid.pneu.</t>
  </si>
  <si>
    <t>010/15</t>
  </si>
  <si>
    <t>Softwar.inform.pan. GEBUSE</t>
  </si>
  <si>
    <t>010/17</t>
  </si>
  <si>
    <t>Soub.licenc.office 97 MOLA</t>
  </si>
  <si>
    <t>010/18</t>
  </si>
  <si>
    <t>GROUPWISE-software v.05</t>
  </si>
  <si>
    <t>010/19</t>
  </si>
  <si>
    <t>MAGIS-programové vybavení</t>
  </si>
  <si>
    <t>010/20</t>
  </si>
  <si>
    <t>Licenc.SW MOLP-A,Office 97</t>
  </si>
  <si>
    <t>010/24</t>
  </si>
  <si>
    <t>SERVER-software-EM TEST</t>
  </si>
  <si>
    <t>010/3</t>
  </si>
  <si>
    <t>Programové vybavení</t>
  </si>
  <si>
    <t>010/31</t>
  </si>
  <si>
    <t>Webové stránky</t>
  </si>
  <si>
    <t>010/32</t>
  </si>
  <si>
    <t>Aplikace konsolidace účet.</t>
  </si>
  <si>
    <t>010/33</t>
  </si>
  <si>
    <t>SW Skeletonnet</t>
  </si>
  <si>
    <t>010/4</t>
  </si>
  <si>
    <t>Aplikační program.vybavení</t>
  </si>
  <si>
    <t>010/40</t>
  </si>
  <si>
    <t>KERIO CONTROL</t>
  </si>
  <si>
    <t>010/5</t>
  </si>
  <si>
    <t>Provozní mapa-software</t>
  </si>
  <si>
    <t>010/6</t>
  </si>
  <si>
    <t>Dispečerský deník</t>
  </si>
  <si>
    <t>010/8</t>
  </si>
  <si>
    <t>Provozní mapa</t>
  </si>
  <si>
    <t>010/9</t>
  </si>
  <si>
    <t>Software grafikon</t>
  </si>
  <si>
    <t>Celkem třída 10</t>
  </si>
  <si>
    <t>010/21</t>
  </si>
  <si>
    <t>NOVELL BORDER MANAGER</t>
  </si>
  <si>
    <t>Celkem třída 13</t>
  </si>
  <si>
    <t>010/25</t>
  </si>
  <si>
    <t>Software pokladny předprod</t>
  </si>
  <si>
    <t>Celkem třída 16</t>
  </si>
  <si>
    <t>010/27</t>
  </si>
  <si>
    <t>SW dispečerské pracoviště</t>
  </si>
  <si>
    <t>010/28</t>
  </si>
  <si>
    <t>SW back office WinADO</t>
  </si>
  <si>
    <t>010/29</t>
  </si>
  <si>
    <t>SW hlášení do vozidel</t>
  </si>
  <si>
    <t>Celkem třída 18</t>
  </si>
  <si>
    <t>Licence k základ.stanici</t>
  </si>
  <si>
    <t>Celkem třída 39</t>
  </si>
  <si>
    <t>Sprinter - řídící SW (IZ)</t>
  </si>
  <si>
    <t>Aplikace EPCOM IZ</t>
  </si>
  <si>
    <t>Aplikace AMONILIS IZ</t>
  </si>
  <si>
    <t>Aplikace na zobrazování IZ</t>
  </si>
  <si>
    <t>Aplikace Hytera pro IZ</t>
  </si>
  <si>
    <t>Aplikace Skeleton pro IZ</t>
  </si>
  <si>
    <t>Inteligentní směrovač IZ</t>
  </si>
  <si>
    <t>Celkem třída 46</t>
  </si>
  <si>
    <t>010/35</t>
  </si>
  <si>
    <t>IS- Digitalizace dokumentů</t>
  </si>
  <si>
    <t>010/37</t>
  </si>
  <si>
    <t>IS-Inventarizace majetku</t>
  </si>
  <si>
    <t>010/38</t>
  </si>
  <si>
    <t>IS-Licence</t>
  </si>
  <si>
    <t>010/39</t>
  </si>
  <si>
    <t>IS-DMS</t>
  </si>
  <si>
    <t>IS-Datový most</t>
  </si>
  <si>
    <t>Celkem třída 51</t>
  </si>
  <si>
    <t>NHM</t>
  </si>
  <si>
    <t>plánované zařazení majetku do konce 2022</t>
  </si>
  <si>
    <t>https://www.czso.cz/csu/czso/cri/prumerne-mzdy-2-ctvrtleti-2022</t>
  </si>
  <si>
    <t>S´</t>
  </si>
  <si>
    <t>S´/S</t>
  </si>
  <si>
    <t>původní délka trolejbusových tratí (délka provozní sítě = dráty)</t>
  </si>
  <si>
    <t>nová délka trolejbusových tratí (délka provozní sítě = dráty)</t>
  </si>
  <si>
    <t>odpisy k plánovanému zařazení (mínusem</t>
  </si>
  <si>
    <t xml:space="preserve">rařazení </t>
  </si>
  <si>
    <t>počet odpisů</t>
  </si>
  <si>
    <t>8/2022</t>
  </si>
  <si>
    <t>2023</t>
  </si>
  <si>
    <t xml:space="preserve">9/2022 </t>
  </si>
  <si>
    <t>9/2022</t>
  </si>
  <si>
    <t>nebude</t>
  </si>
  <si>
    <t>22 nebude</t>
  </si>
  <si>
    <t>zrušeno</t>
  </si>
  <si>
    <t>částka</t>
  </si>
  <si>
    <t>odpis</t>
  </si>
  <si>
    <t>odepisování (let)</t>
  </si>
  <si>
    <t>Komentáře:</t>
  </si>
  <si>
    <t>Byla provedena čistá indexace platných výchozích finančních modelů.</t>
  </si>
  <si>
    <t>Hodnota provozních aktiv byla stanovena na základě perspektivy odpisů včetně plánovaného zařazení majetku do konce roku 2022.</t>
  </si>
  <si>
    <t>Dále byly provedeny změny dle přílohy č.5 výše uvedené smlouvy.</t>
  </si>
  <si>
    <t>Indexační náklady na energie</t>
  </si>
  <si>
    <t>Odhadované náklady na energie</t>
  </si>
  <si>
    <t xml:space="preserve">Rozdíl </t>
  </si>
  <si>
    <t xml:space="preserve">1/2 uhradí objednatel v souladu se Smlouvu o veřejných službách v přepravě cestujících </t>
  </si>
  <si>
    <t xml:space="preserve">1/2 uhradí objednatel mimo Smlouvu o veřejných službách v přepravě cestujících </t>
  </si>
  <si>
    <t>Při výpočtu kompenzace bylo postupováno dle článku VI. "Smlouvy o veřejných službách v přepravě cestujících" včetně všech platných dodatků.</t>
  </si>
  <si>
    <t>Energetické %</t>
  </si>
  <si>
    <t>Kompenzační %</t>
  </si>
  <si>
    <t>MDPO</t>
  </si>
  <si>
    <t>predikce 2023</t>
  </si>
  <si>
    <t>náklady na energie</t>
  </si>
  <si>
    <t>elektřina</t>
  </si>
  <si>
    <t>nafta</t>
  </si>
  <si>
    <t>plyn</t>
  </si>
  <si>
    <t>Spotřeba MWh, L</t>
  </si>
  <si>
    <t>Distribuce a daň</t>
  </si>
  <si>
    <t>Náklady na energie včetně distr. a daně</t>
  </si>
  <si>
    <r>
      <t xml:space="preserve">Linky MHD, celkem, </t>
    </r>
    <r>
      <rPr>
        <b/>
        <u/>
        <sz val="9"/>
        <rFont val="Myriad pro"/>
        <charset val="238"/>
      </rPr>
      <t>zdrojová data 18.7.2023</t>
    </r>
  </si>
  <si>
    <t>Cena komodity bez DPH</t>
  </si>
  <si>
    <t>Vypočtená kompenzace pro rok 2023 - smluvní</t>
  </si>
  <si>
    <t>Vypočtená kompenzace pro rok 2023 - energie 100%</t>
  </si>
  <si>
    <t>Energie 100%</t>
  </si>
  <si>
    <t>Energie 50%</t>
  </si>
  <si>
    <t>Kč/km</t>
  </si>
  <si>
    <t>Cena ditribuce a daní bez DPH</t>
  </si>
  <si>
    <t>Predikce nákladů MDPO, a.s. na energie 2023</t>
  </si>
  <si>
    <r>
      <t xml:space="preserve">Hodnota odhadovaných nákladů na energie byla přepočítána dle zastropovaných cen energií EE </t>
    </r>
    <r>
      <rPr>
        <sz val="11"/>
        <color rgb="FFFF0000"/>
        <rFont val="Myriad Pro"/>
        <charset val="238"/>
      </rPr>
      <t>5.000</t>
    </r>
    <r>
      <rPr>
        <sz val="11"/>
        <color theme="1"/>
        <rFont val="Myriad Pro"/>
        <family val="2"/>
        <charset val="238"/>
      </rPr>
      <t xml:space="preserve"> Kč/MWh, ZP </t>
    </r>
    <r>
      <rPr>
        <sz val="11"/>
        <color rgb="FFFF0000"/>
        <rFont val="Myriad Pro"/>
        <charset val="238"/>
      </rPr>
      <t>2.500</t>
    </r>
    <r>
      <rPr>
        <sz val="11"/>
        <color theme="1"/>
        <rFont val="Myriad Pro"/>
        <family val="2"/>
        <charset val="238"/>
      </rPr>
      <t xml:space="preserve"> Kč/MWh bez DPH.</t>
    </r>
  </si>
  <si>
    <t>Cena distribuce a daní u EE 20% k celkové ceně komodity, u ZP 162 Kč/MWh distribuce + 264,80 Kč/MWh daň z plynu.</t>
  </si>
  <si>
    <t xml:space="preserve"> - návrh rozpočtu na rok 2022</t>
  </si>
  <si>
    <t>Návrh rozpočtu na rok 2022 obsahuje indexační náklady na energie (elektřina, nafta, plyn) + 1/2 rozdílu mezi skutečnými odhadovanými náklady na energie a indexačními náklady na energie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</si>
</sst>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5" formatCode="#,##0\ &quot;Kč&quot;;\-#,##0\ &quot;Kč&quot;"/>
    <numFmt numFmtId="6" formatCode="#,##0\ &quot;Kč&quot;;[Red]\-#,##0\ &quot;Kč&quot;"/>
    <numFmt numFmtId="42" formatCode="_-* #,##0\ &quot;Kč&quot;_-;\-* #,##0\ &quot;Kč&quot;_-;_-* &quot;-&quot;\ &quot;Kč&quot;_-;_-@_-"/>
    <numFmt numFmtId="164" formatCode="0.0"/>
    <numFmt numFmtId="165" formatCode="#,##0.00\ &quot;Kč&quot;"/>
    <numFmt numFmtId="166" formatCode="#,##0.0000"/>
    <numFmt numFmtId="167" formatCode="0.000"/>
    <numFmt numFmtId="168" formatCode="#,##0\ &quot;Kč&quot;"/>
    <numFmt numFmtId="169" formatCode="#,##0\ _K_č"/>
  </numFmts>
  <fonts count="59">
    <font>
      <sz val="11"/>
      <color theme="1"/>
      <name val="Myriad Pro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u/>
      <sz val="11"/>
      <color theme="10"/>
      <name val="Myriad Pro"/>
      <family val="2"/>
      <charset val="238"/>
    </font>
    <font>
      <b/>
      <sz val="11"/>
      <color theme="1"/>
      <name val="Myriad Pro"/>
      <family val="2"/>
    </font>
    <font>
      <sz val="11"/>
      <color theme="1"/>
      <name val="Myriad Pro"/>
      <family val="2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2"/>
      <name val="Times New Roman"/>
      <family val="1"/>
      <charset val="238"/>
    </font>
    <font>
      <b/>
      <sz val="10"/>
      <name val="Myriad Pro"/>
      <family val="2"/>
    </font>
    <font>
      <sz val="10"/>
      <name val="Myriad Pro"/>
      <family val="2"/>
    </font>
    <font>
      <b/>
      <sz val="8"/>
      <name val="Myriad Pro"/>
      <family val="2"/>
    </font>
    <font>
      <sz val="8"/>
      <name val="Myriad Pro"/>
      <family val="2"/>
    </font>
    <font>
      <b/>
      <sz val="12"/>
      <name val="Times New Roman"/>
      <family val="1"/>
      <charset val="238"/>
    </font>
    <font>
      <sz val="11"/>
      <name val="Myriad Pro"/>
      <family val="2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color theme="1"/>
      <name val="Myriad Pro"/>
      <family val="2"/>
    </font>
    <font>
      <b/>
      <sz val="10"/>
      <color theme="1"/>
      <name val="Myriad Pro"/>
      <family val="2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8"/>
      <color theme="1"/>
      <name val="Myriad Pro"/>
      <family val="2"/>
      <charset val="238"/>
    </font>
    <font>
      <sz val="11"/>
      <color theme="8"/>
      <name val="Myriad Pro"/>
      <family val="2"/>
      <charset val="238"/>
    </font>
    <font>
      <sz val="11"/>
      <name val="Myriad Pro"/>
      <family val="2"/>
      <charset val="238"/>
    </font>
    <font>
      <sz val="11"/>
      <color theme="9"/>
      <name val="Myriad Pro"/>
      <family val="2"/>
      <charset val="238"/>
    </font>
    <font>
      <sz val="8"/>
      <name val="Myriad Pro"/>
      <family val="2"/>
      <charset val="238"/>
    </font>
    <font>
      <b/>
      <sz val="16"/>
      <color theme="1"/>
      <name val="Calibri"/>
      <family val="2"/>
      <charset val="238"/>
    </font>
    <font>
      <b/>
      <sz val="8"/>
      <name val="Times New Roman"/>
      <family val="1"/>
      <charset val="238"/>
    </font>
    <font>
      <sz val="24"/>
      <color rgb="FFFF0000"/>
      <name val="Arial"/>
      <family val="2"/>
      <charset val="238"/>
    </font>
    <font>
      <b/>
      <u/>
      <sz val="14"/>
      <color theme="1"/>
      <name val="Myriad Pro"/>
      <family val="2"/>
    </font>
    <font>
      <sz val="8"/>
      <color theme="1"/>
      <name val="Myriad Pro"/>
      <family val="2"/>
    </font>
    <font>
      <sz val="8"/>
      <color rgb="FFFF0000"/>
      <name val="Myriad Pro"/>
      <family val="2"/>
    </font>
    <font>
      <sz val="11"/>
      <color rgb="FFFF0000"/>
      <name val="Myriad Pro"/>
      <family val="2"/>
    </font>
    <font>
      <sz val="9"/>
      <name val="Myriad Pro"/>
      <family val="2"/>
    </font>
    <font>
      <sz val="11"/>
      <name val="Calibri"/>
      <family val="2"/>
      <charset val="238"/>
      <scheme val="minor"/>
    </font>
    <font>
      <b/>
      <sz val="11"/>
      <name val="Myriad Pro"/>
      <family val="2"/>
    </font>
    <font>
      <sz val="12"/>
      <color theme="1"/>
      <name val="Myriad Pro"/>
      <family val="2"/>
    </font>
    <font>
      <sz val="12"/>
      <color rgb="FFFF0000"/>
      <name val="Myriad Pro"/>
      <family val="2"/>
    </font>
    <font>
      <b/>
      <sz val="11"/>
      <color rgb="FFFF0000"/>
      <name val="Myriad Pro"/>
      <family val="2"/>
    </font>
    <font>
      <sz val="9"/>
      <color theme="1"/>
      <name val="Calibri"/>
      <family val="2"/>
      <charset val="238"/>
      <scheme val="minor"/>
    </font>
    <font>
      <b/>
      <sz val="12"/>
      <name val="Myriad Pro"/>
      <family val="2"/>
    </font>
    <font>
      <b/>
      <sz val="11"/>
      <color theme="1"/>
      <name val="Myriad Pro"/>
      <charset val="238"/>
    </font>
    <font>
      <b/>
      <sz val="11"/>
      <name val="Myriad Pro"/>
      <charset val="238"/>
    </font>
    <font>
      <sz val="11"/>
      <color rgb="FF00B0F0"/>
      <name val="Myriad pro"/>
      <charset val="238"/>
    </font>
    <font>
      <sz val="11"/>
      <color theme="1"/>
      <name val="Myriad pro"/>
      <charset val="238"/>
    </font>
    <font>
      <sz val="14"/>
      <color theme="1"/>
      <name val="Myriad pro"/>
      <charset val="238"/>
    </font>
    <font>
      <b/>
      <u/>
      <sz val="12"/>
      <name val="Myriad pro"/>
      <charset val="238"/>
    </font>
    <font>
      <b/>
      <u/>
      <sz val="9"/>
      <name val="Myriad pro"/>
      <charset val="238"/>
    </font>
    <font>
      <sz val="10"/>
      <name val="Myriad pro"/>
      <charset val="238"/>
    </font>
    <font>
      <b/>
      <sz val="10"/>
      <name val="Myriad pro"/>
      <charset val="238"/>
    </font>
    <font>
      <i/>
      <sz val="9"/>
      <name val="Myriad pro"/>
      <charset val="238"/>
    </font>
    <font>
      <sz val="9"/>
      <name val="Myriad pro"/>
      <charset val="238"/>
    </font>
    <font>
      <b/>
      <sz val="18"/>
      <color theme="1"/>
      <name val="Myriad pro"/>
      <charset val="238"/>
    </font>
    <font>
      <b/>
      <u/>
      <sz val="11"/>
      <color theme="1"/>
      <name val="Myriad pro"/>
      <charset val="238"/>
    </font>
    <font>
      <sz val="11"/>
      <name val="Myriad pro"/>
      <charset val="238"/>
    </font>
    <font>
      <sz val="11"/>
      <color rgb="FFFF0000"/>
      <name val="Myriad Pro"/>
      <charset val="238"/>
    </font>
  </fonts>
  <fills count="2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1" fillId="0" borderId="0"/>
  </cellStyleXfs>
  <cellXfs count="506">
    <xf numFmtId="0" fontId="0" fillId="0" borderId="0" xfId="0"/>
    <xf numFmtId="0" fontId="5" fillId="0" borderId="0" xfId="3"/>
    <xf numFmtId="0" fontId="6" fillId="0" borderId="0" xfId="0" applyFont="1"/>
    <xf numFmtId="164" fontId="6" fillId="0" borderId="0" xfId="0" applyNumberFormat="1" applyFont="1"/>
    <xf numFmtId="0" fontId="7" fillId="0" borderId="0" xfId="0" applyFont="1"/>
    <xf numFmtId="164" fontId="6" fillId="3" borderId="0" xfId="0" applyNumberFormat="1" applyFont="1" applyFill="1"/>
    <xf numFmtId="0" fontId="0" fillId="4" borderId="0" xfId="0" applyFill="1"/>
    <xf numFmtId="2" fontId="0" fillId="0" borderId="0" xfId="0" applyNumberFormat="1"/>
    <xf numFmtId="0" fontId="10" fillId="0" borderId="7" xfId="0" applyFont="1" applyBorder="1"/>
    <xf numFmtId="0" fontId="10" fillId="0" borderId="0" xfId="0" applyFont="1"/>
    <xf numFmtId="165" fontId="0" fillId="0" borderId="0" xfId="0" applyNumberFormat="1"/>
    <xf numFmtId="166" fontId="0" fillId="0" borderId="0" xfId="0" applyNumberFormat="1"/>
    <xf numFmtId="2" fontId="6" fillId="3" borderId="0" xfId="0" applyNumberFormat="1" applyFont="1" applyFill="1"/>
    <xf numFmtId="17" fontId="0" fillId="0" borderId="0" xfId="0" applyNumberFormat="1"/>
    <xf numFmtId="0" fontId="6" fillId="3" borderId="0" xfId="0" applyFont="1" applyFill="1"/>
    <xf numFmtId="0" fontId="0" fillId="0" borderId="10" xfId="0" applyBorder="1"/>
    <xf numFmtId="3" fontId="0" fillId="0" borderId="11" xfId="0" applyNumberFormat="1" applyBorder="1"/>
    <xf numFmtId="0" fontId="0" fillId="0" borderId="12" xfId="0" applyBorder="1"/>
    <xf numFmtId="3" fontId="0" fillId="0" borderId="13" xfId="0" applyNumberFormat="1" applyBorder="1"/>
    <xf numFmtId="0" fontId="0" fillId="0" borderId="14" xfId="0" applyBorder="1"/>
    <xf numFmtId="3" fontId="0" fillId="0" borderId="15" xfId="0" applyNumberFormat="1" applyBorder="1"/>
    <xf numFmtId="3" fontId="6" fillId="5" borderId="9" xfId="0" applyNumberFormat="1" applyFont="1" applyFill="1" applyBorder="1"/>
    <xf numFmtId="3" fontId="6" fillId="6" borderId="9" xfId="0" applyNumberFormat="1" applyFont="1" applyFill="1" applyBorder="1"/>
    <xf numFmtId="0" fontId="6" fillId="7" borderId="8" xfId="0" applyFont="1" applyFill="1" applyBorder="1"/>
    <xf numFmtId="3" fontId="0" fillId="0" borderId="0" xfId="0" applyNumberFormat="1"/>
    <xf numFmtId="0" fontId="0" fillId="0" borderId="1" xfId="0" applyBorder="1"/>
    <xf numFmtId="0" fontId="6" fillId="6" borderId="0" xfId="0" applyFont="1" applyFill="1"/>
    <xf numFmtId="0" fontId="0" fillId="6" borderId="0" xfId="0" applyFill="1"/>
    <xf numFmtId="3" fontId="0" fillId="0" borderId="1" xfId="0" applyNumberFormat="1" applyBorder="1"/>
    <xf numFmtId="3" fontId="0" fillId="2" borderId="1" xfId="0" applyNumberFormat="1" applyFill="1" applyBorder="1"/>
    <xf numFmtId="0" fontId="12" fillId="0" borderId="0" xfId="1" applyFont="1"/>
    <xf numFmtId="0" fontId="11" fillId="0" borderId="0" xfId="2" applyFont="1"/>
    <xf numFmtId="0" fontId="12" fillId="0" borderId="0" xfId="1" applyFont="1" applyBorder="1"/>
    <xf numFmtId="3" fontId="11" fillId="2" borderId="1" xfId="1" applyNumberFormat="1" applyFont="1" applyFill="1" applyBorder="1" applyAlignment="1">
      <alignment horizontal="center"/>
    </xf>
    <xf numFmtId="0" fontId="11" fillId="2" borderId="1" xfId="1" applyFont="1" applyFill="1" applyBorder="1" applyAlignment="1">
      <alignment horizontal="center"/>
    </xf>
    <xf numFmtId="0" fontId="12" fillId="0" borderId="1" xfId="1" applyFont="1" applyBorder="1" applyAlignment="1"/>
    <xf numFmtId="3" fontId="12" fillId="0" borderId="1" xfId="1" applyNumberFormat="1" applyFont="1" applyFill="1" applyBorder="1"/>
    <xf numFmtId="4" fontId="12" fillId="0" borderId="1" xfId="1" applyNumberFormat="1" applyFont="1" applyBorder="1"/>
    <xf numFmtId="3" fontId="12" fillId="0" borderId="1" xfId="1" applyNumberFormat="1" applyFont="1" applyBorder="1"/>
    <xf numFmtId="0" fontId="11" fillId="0" borderId="1" xfId="1" applyFont="1" applyBorder="1" applyAlignment="1"/>
    <xf numFmtId="3" fontId="11" fillId="0" borderId="1" xfId="1" applyNumberFormat="1" applyFont="1" applyFill="1" applyBorder="1"/>
    <xf numFmtId="0" fontId="12" fillId="0" borderId="1" xfId="1" applyFont="1" applyBorder="1"/>
    <xf numFmtId="0" fontId="12" fillId="0" borderId="1" xfId="1" applyFont="1" applyBorder="1" applyAlignment="1">
      <alignment horizontal="left"/>
    </xf>
    <xf numFmtId="0" fontId="11" fillId="0" borderId="1" xfId="1" applyFont="1" applyBorder="1" applyAlignment="1">
      <alignment horizontal="right"/>
    </xf>
    <xf numFmtId="0" fontId="12" fillId="0" borderId="1" xfId="1" applyFont="1" applyFill="1" applyBorder="1" applyAlignment="1"/>
    <xf numFmtId="4" fontId="11" fillId="2" borderId="1" xfId="1" applyNumberFormat="1" applyFont="1" applyFill="1" applyBorder="1"/>
    <xf numFmtId="3" fontId="11" fillId="2" borderId="1" xfId="1" applyNumberFormat="1" applyFont="1" applyFill="1" applyBorder="1"/>
    <xf numFmtId="0" fontId="11" fillId="0" borderId="1" xfId="1" applyFont="1" applyBorder="1"/>
    <xf numFmtId="3" fontId="12" fillId="2" borderId="1" xfId="1" applyNumberFormat="1" applyFont="1" applyFill="1" applyBorder="1"/>
    <xf numFmtId="4" fontId="11" fillId="0" borderId="1" xfId="1" applyNumberFormat="1" applyFont="1" applyBorder="1"/>
    <xf numFmtId="3" fontId="11" fillId="5" borderId="1" xfId="1" applyNumberFormat="1" applyFont="1" applyFill="1" applyBorder="1" applyAlignment="1">
      <alignment horizontal="center"/>
    </xf>
    <xf numFmtId="0" fontId="11" fillId="5" borderId="1" xfId="1" applyFont="1" applyFill="1" applyBorder="1" applyAlignment="1">
      <alignment horizontal="center"/>
    </xf>
    <xf numFmtId="3" fontId="11" fillId="10" borderId="1" xfId="1" applyNumberFormat="1" applyFont="1" applyFill="1" applyBorder="1" applyAlignment="1">
      <alignment horizontal="center"/>
    </xf>
    <xf numFmtId="0" fontId="11" fillId="10" borderId="1" xfId="1" applyFont="1" applyFill="1" applyBorder="1" applyAlignment="1">
      <alignment horizontal="center"/>
    </xf>
    <xf numFmtId="3" fontId="11" fillId="5" borderId="1" xfId="1" applyNumberFormat="1" applyFont="1" applyFill="1" applyBorder="1"/>
    <xf numFmtId="4" fontId="11" fillId="5" borderId="1" xfId="1" applyNumberFormat="1" applyFont="1" applyFill="1" applyBorder="1"/>
    <xf numFmtId="3" fontId="11" fillId="10" borderId="1" xfId="1" applyNumberFormat="1" applyFont="1" applyFill="1" applyBorder="1"/>
    <xf numFmtId="4" fontId="11" fillId="10" borderId="1" xfId="1" applyNumberFormat="1" applyFont="1" applyFill="1" applyBorder="1"/>
    <xf numFmtId="0" fontId="4" fillId="0" borderId="0" xfId="1" applyFont="1"/>
    <xf numFmtId="0" fontId="4" fillId="0" borderId="1" xfId="1" applyFont="1" applyBorder="1"/>
    <xf numFmtId="0" fontId="3" fillId="0" borderId="1" xfId="1" applyFont="1" applyBorder="1"/>
    <xf numFmtId="0" fontId="4" fillId="0" borderId="1" xfId="1" applyFont="1" applyBorder="1" applyAlignment="1">
      <alignment horizontal="left"/>
    </xf>
    <xf numFmtId="0" fontId="3" fillId="0" borderId="1" xfId="1" applyFont="1" applyBorder="1" applyAlignment="1">
      <alignment horizontal="right"/>
    </xf>
    <xf numFmtId="3" fontId="6" fillId="0" borderId="1" xfId="0" applyNumberFormat="1" applyFont="1" applyBorder="1"/>
    <xf numFmtId="3" fontId="6" fillId="6" borderId="0" xfId="0" applyNumberFormat="1" applyFont="1" applyFill="1"/>
    <xf numFmtId="167" fontId="6" fillId="3" borderId="0" xfId="0" applyNumberFormat="1" applyFont="1" applyFill="1"/>
    <xf numFmtId="0" fontId="16" fillId="0" borderId="0" xfId="1" applyFont="1" applyBorder="1"/>
    <xf numFmtId="0" fontId="17" fillId="0" borderId="0" xfId="0" applyFont="1"/>
    <xf numFmtId="0" fontId="17" fillId="0" borderId="20" xfId="0" applyFont="1" applyBorder="1"/>
    <xf numFmtId="0" fontId="18" fillId="0" borderId="20" xfId="0" applyFont="1" applyBorder="1"/>
    <xf numFmtId="0" fontId="18" fillId="3" borderId="29" xfId="0" applyFont="1" applyFill="1" applyBorder="1"/>
    <xf numFmtId="0" fontId="18" fillId="9" borderId="30" xfId="0" applyFont="1" applyFill="1" applyBorder="1"/>
    <xf numFmtId="0" fontId="18" fillId="7" borderId="31" xfId="0" applyFont="1" applyFill="1" applyBorder="1"/>
    <xf numFmtId="0" fontId="18" fillId="8" borderId="21" xfId="0" applyFont="1" applyFill="1" applyBorder="1"/>
    <xf numFmtId="0" fontId="18" fillId="5" borderId="32" xfId="0" applyFont="1" applyFill="1" applyBorder="1"/>
    <xf numFmtId="3" fontId="18" fillId="0" borderId="10" xfId="0" applyNumberFormat="1" applyFont="1" applyBorder="1"/>
    <xf numFmtId="3" fontId="18" fillId="0" borderId="41" xfId="0" applyNumberFormat="1" applyFont="1" applyBorder="1"/>
    <xf numFmtId="3" fontId="18" fillId="0" borderId="11" xfId="0" applyNumberFormat="1" applyFont="1" applyBorder="1"/>
    <xf numFmtId="3" fontId="18" fillId="12" borderId="47" xfId="0" applyNumberFormat="1" applyFont="1" applyFill="1" applyBorder="1"/>
    <xf numFmtId="0" fontId="18" fillId="5" borderId="34" xfId="0" applyFont="1" applyFill="1" applyBorder="1"/>
    <xf numFmtId="3" fontId="18" fillId="0" borderId="48" xfId="0" applyNumberFormat="1" applyFont="1" applyBorder="1"/>
    <xf numFmtId="3" fontId="18" fillId="0" borderId="1" xfId="0" applyNumberFormat="1" applyFont="1" applyBorder="1"/>
    <xf numFmtId="3" fontId="18" fillId="0" borderId="49" xfId="0" applyNumberFormat="1" applyFont="1" applyBorder="1"/>
    <xf numFmtId="3" fontId="18" fillId="12" borderId="50" xfId="0" applyNumberFormat="1" applyFont="1" applyFill="1" applyBorder="1"/>
    <xf numFmtId="0" fontId="18" fillId="5" borderId="36" xfId="0" applyFont="1" applyFill="1" applyBorder="1"/>
    <xf numFmtId="3" fontId="18" fillId="0" borderId="51" xfId="0" applyNumberFormat="1" applyFont="1" applyBorder="1"/>
    <xf numFmtId="3" fontId="18" fillId="0" borderId="52" xfId="0" applyNumberFormat="1" applyFont="1" applyBorder="1"/>
    <xf numFmtId="3" fontId="18" fillId="0" borderId="53" xfId="0" applyNumberFormat="1" applyFont="1" applyBorder="1"/>
    <xf numFmtId="3" fontId="18" fillId="12" borderId="43" xfId="0" applyNumberFormat="1" applyFont="1" applyFill="1" applyBorder="1"/>
    <xf numFmtId="0" fontId="18" fillId="0" borderId="23" xfId="0" applyFont="1" applyBorder="1"/>
    <xf numFmtId="3" fontId="18" fillId="3" borderId="54" xfId="0" applyNumberFormat="1" applyFont="1" applyFill="1" applyBorder="1"/>
    <xf numFmtId="3" fontId="18" fillId="9" borderId="55" xfId="0" applyNumberFormat="1" applyFont="1" applyFill="1" applyBorder="1"/>
    <xf numFmtId="3" fontId="18" fillId="7" borderId="56" xfId="0" applyNumberFormat="1" applyFont="1" applyFill="1" applyBorder="1"/>
    <xf numFmtId="3" fontId="18" fillId="8" borderId="24" xfId="0" applyNumberFormat="1" applyFont="1" applyFill="1" applyBorder="1"/>
    <xf numFmtId="9" fontId="18" fillId="3" borderId="54" xfId="0" applyNumberFormat="1" applyFont="1" applyFill="1" applyBorder="1"/>
    <xf numFmtId="9" fontId="18" fillId="9" borderId="55" xfId="0" applyNumberFormat="1" applyFont="1" applyFill="1" applyBorder="1"/>
    <xf numFmtId="9" fontId="18" fillId="7" borderId="56" xfId="0" applyNumberFormat="1" applyFont="1" applyFill="1" applyBorder="1"/>
    <xf numFmtId="9" fontId="18" fillId="8" borderId="24" xfId="0" applyNumberFormat="1" applyFont="1" applyFill="1" applyBorder="1"/>
    <xf numFmtId="0" fontId="18" fillId="0" borderId="38" xfId="0" applyFont="1" applyBorder="1"/>
    <xf numFmtId="0" fontId="17" fillId="8" borderId="21" xfId="0" applyFont="1" applyFill="1" applyBorder="1"/>
    <xf numFmtId="0" fontId="18" fillId="0" borderId="0" xfId="0" applyFont="1"/>
    <xf numFmtId="0" fontId="18" fillId="5" borderId="33" xfId="0" applyFont="1" applyFill="1" applyBorder="1"/>
    <xf numFmtId="3" fontId="17" fillId="12" borderId="47" xfId="0" applyNumberFormat="1" applyFont="1" applyFill="1" applyBorder="1"/>
    <xf numFmtId="0" fontId="18" fillId="5" borderId="35" xfId="0" applyFont="1" applyFill="1" applyBorder="1"/>
    <xf numFmtId="3" fontId="17" fillId="12" borderId="50" xfId="0" applyNumberFormat="1" applyFont="1" applyFill="1" applyBorder="1"/>
    <xf numFmtId="0" fontId="18" fillId="5" borderId="37" xfId="0" applyFont="1" applyFill="1" applyBorder="1"/>
    <xf numFmtId="3" fontId="17" fillId="12" borderId="43" xfId="0" applyNumberFormat="1" applyFont="1" applyFill="1" applyBorder="1"/>
    <xf numFmtId="0" fontId="17" fillId="0" borderId="40" xfId="0" applyFont="1" applyBorder="1"/>
    <xf numFmtId="3" fontId="17" fillId="3" borderId="54" xfId="0" applyNumberFormat="1" applyFont="1" applyFill="1" applyBorder="1"/>
    <xf numFmtId="3" fontId="17" fillId="9" borderId="55" xfId="0" applyNumberFormat="1" applyFont="1" applyFill="1" applyBorder="1"/>
    <xf numFmtId="3" fontId="17" fillId="7" borderId="56" xfId="0" applyNumberFormat="1" applyFont="1" applyFill="1" applyBorder="1"/>
    <xf numFmtId="3" fontId="17" fillId="8" borderId="24" xfId="0" applyNumberFormat="1" applyFont="1" applyFill="1" applyBorder="1"/>
    <xf numFmtId="9" fontId="17" fillId="3" borderId="54" xfId="0" applyNumberFormat="1" applyFont="1" applyFill="1" applyBorder="1"/>
    <xf numFmtId="9" fontId="17" fillId="9" borderId="55" xfId="0" applyNumberFormat="1" applyFont="1" applyFill="1" applyBorder="1"/>
    <xf numFmtId="9" fontId="17" fillId="7" borderId="56" xfId="0" applyNumberFormat="1" applyFont="1" applyFill="1" applyBorder="1"/>
    <xf numFmtId="9" fontId="17" fillId="8" borderId="19" xfId="0" applyNumberFormat="1" applyFont="1" applyFill="1" applyBorder="1"/>
    <xf numFmtId="0" fontId="18" fillId="3" borderId="57" xfId="0" applyFont="1" applyFill="1" applyBorder="1"/>
    <xf numFmtId="0" fontId="18" fillId="7" borderId="61" xfId="0" applyFont="1" applyFill="1" applyBorder="1"/>
    <xf numFmtId="0" fontId="17" fillId="8" borderId="38" xfId="0" applyFont="1" applyFill="1" applyBorder="1"/>
    <xf numFmtId="3" fontId="17" fillId="12" borderId="33" xfId="0" applyNumberFormat="1" applyFont="1" applyFill="1" applyBorder="1"/>
    <xf numFmtId="3" fontId="17" fillId="12" borderId="35" xfId="0" applyNumberFormat="1" applyFont="1" applyFill="1" applyBorder="1"/>
    <xf numFmtId="3" fontId="17" fillId="12" borderId="37" xfId="0" applyNumberFormat="1" applyFont="1" applyFill="1" applyBorder="1"/>
    <xf numFmtId="3" fontId="17" fillId="3" borderId="60" xfId="0" applyNumberFormat="1" applyFont="1" applyFill="1" applyBorder="1"/>
    <xf numFmtId="3" fontId="17" fillId="7" borderId="63" xfId="0" applyNumberFormat="1" applyFont="1" applyFill="1" applyBorder="1"/>
    <xf numFmtId="3" fontId="17" fillId="8" borderId="40" xfId="0" applyNumberFormat="1" applyFont="1" applyFill="1" applyBorder="1"/>
    <xf numFmtId="3" fontId="17" fillId="0" borderId="0" xfId="0" applyNumberFormat="1" applyFont="1"/>
    <xf numFmtId="0" fontId="17" fillId="0" borderId="19" xfId="0" applyFont="1" applyBorder="1"/>
    <xf numFmtId="3" fontId="17" fillId="3" borderId="8" xfId="0" applyNumberFormat="1" applyFont="1" applyFill="1" applyBorder="1"/>
    <xf numFmtId="3" fontId="17" fillId="9" borderId="45" xfId="0" applyNumberFormat="1" applyFont="1" applyFill="1" applyBorder="1"/>
    <xf numFmtId="3" fontId="17" fillId="7" borderId="9" xfId="0" applyNumberFormat="1" applyFont="1" applyFill="1" applyBorder="1"/>
    <xf numFmtId="3" fontId="17" fillId="8" borderId="17" xfId="0" applyNumberFormat="1" applyFont="1" applyFill="1" applyBorder="1"/>
    <xf numFmtId="3" fontId="17" fillId="0" borderId="54" xfId="0" applyNumberFormat="1" applyFont="1" applyBorder="1"/>
    <xf numFmtId="3" fontId="17" fillId="0" borderId="55" xfId="0" applyNumberFormat="1" applyFont="1" applyBorder="1"/>
    <xf numFmtId="3" fontId="17" fillId="0" borderId="56" xfId="0" applyNumberFormat="1" applyFont="1" applyBorder="1"/>
    <xf numFmtId="3" fontId="17" fillId="0" borderId="24" xfId="0" applyNumberFormat="1" applyFont="1" applyBorder="1"/>
    <xf numFmtId="3" fontId="18" fillId="0" borderId="0" xfId="0" applyNumberFormat="1" applyFont="1"/>
    <xf numFmtId="0" fontId="18" fillId="0" borderId="16" xfId="0" applyFont="1" applyBorder="1"/>
    <xf numFmtId="0" fontId="18" fillId="5" borderId="19" xfId="0" applyFont="1" applyFill="1" applyBorder="1"/>
    <xf numFmtId="3" fontId="17" fillId="12" borderId="19" xfId="0" applyNumberFormat="1" applyFont="1" applyFill="1" applyBorder="1"/>
    <xf numFmtId="0" fontId="18" fillId="0" borderId="19" xfId="0" applyFont="1" applyBorder="1"/>
    <xf numFmtId="0" fontId="18" fillId="3" borderId="8" xfId="0" applyFont="1" applyFill="1" applyBorder="1"/>
    <xf numFmtId="0" fontId="18" fillId="9" borderId="45" xfId="0" applyFont="1" applyFill="1" applyBorder="1"/>
    <xf numFmtId="0" fontId="18" fillId="7" borderId="46" xfId="0" applyFont="1" applyFill="1" applyBorder="1"/>
    <xf numFmtId="0" fontId="17" fillId="8" borderId="19" xfId="0" applyFont="1" applyFill="1" applyBorder="1" applyAlignment="1">
      <alignment horizontal="center"/>
    </xf>
    <xf numFmtId="0" fontId="18" fillId="0" borderId="33" xfId="0" applyFont="1" applyBorder="1"/>
    <xf numFmtId="3" fontId="18" fillId="0" borderId="42" xfId="0" applyNumberFormat="1" applyFont="1" applyBorder="1"/>
    <xf numFmtId="0" fontId="18" fillId="0" borderId="44" xfId="0" applyFont="1" applyBorder="1"/>
    <xf numFmtId="3" fontId="18" fillId="0" borderId="12" xfId="0" applyNumberFormat="1" applyFont="1" applyBorder="1"/>
    <xf numFmtId="3" fontId="18" fillId="0" borderId="2" xfId="0" applyNumberFormat="1" applyFont="1" applyBorder="1"/>
    <xf numFmtId="3" fontId="18" fillId="0" borderId="25" xfId="0" applyNumberFormat="1" applyFont="1" applyBorder="1"/>
    <xf numFmtId="3" fontId="17" fillId="12" borderId="44" xfId="0" applyNumberFormat="1" applyFont="1" applyFill="1" applyBorder="1"/>
    <xf numFmtId="3" fontId="17" fillId="3" borderId="19" xfId="0" applyNumberFormat="1" applyFont="1" applyFill="1" applyBorder="1"/>
    <xf numFmtId="3" fontId="17" fillId="9" borderId="19" xfId="0" applyNumberFormat="1" applyFont="1" applyFill="1" applyBorder="1"/>
    <xf numFmtId="3" fontId="17" fillId="7" borderId="16" xfId="0" applyNumberFormat="1" applyFont="1" applyFill="1" applyBorder="1"/>
    <xf numFmtId="3" fontId="17" fillId="8" borderId="19" xfId="0" applyNumberFormat="1" applyFont="1" applyFill="1" applyBorder="1"/>
    <xf numFmtId="0" fontId="18" fillId="8" borderId="19" xfId="0" applyFont="1" applyFill="1" applyBorder="1"/>
    <xf numFmtId="0" fontId="18" fillId="9" borderId="46" xfId="0" applyFont="1" applyFill="1" applyBorder="1"/>
    <xf numFmtId="3" fontId="18" fillId="0" borderId="29" xfId="0" applyNumberFormat="1" applyFont="1" applyBorder="1"/>
    <xf numFmtId="3" fontId="18" fillId="0" borderId="20" xfId="0" applyNumberFormat="1" applyFont="1" applyBorder="1"/>
    <xf numFmtId="3" fontId="18" fillId="12" borderId="38" xfId="0" applyNumberFormat="1" applyFont="1" applyFill="1" applyBorder="1"/>
    <xf numFmtId="3" fontId="18" fillId="0" borderId="36" xfId="0" applyNumberFormat="1" applyFont="1" applyBorder="1"/>
    <xf numFmtId="3" fontId="18" fillId="12" borderId="37" xfId="0" applyNumberFormat="1" applyFont="1" applyFill="1" applyBorder="1"/>
    <xf numFmtId="0" fontId="17" fillId="8" borderId="19" xfId="0" applyFont="1" applyFill="1" applyBorder="1"/>
    <xf numFmtId="3" fontId="17" fillId="9" borderId="16" xfId="0" applyNumberFormat="1" applyFont="1" applyFill="1" applyBorder="1"/>
    <xf numFmtId="3" fontId="19" fillId="0" borderId="1" xfId="0" applyNumberFormat="1" applyFont="1" applyBorder="1"/>
    <xf numFmtId="4" fontId="19" fillId="0" borderId="1" xfId="0" applyNumberFormat="1" applyFont="1" applyBorder="1"/>
    <xf numFmtId="3" fontId="20" fillId="0" borderId="1" xfId="0" applyNumberFormat="1" applyFont="1" applyBorder="1"/>
    <xf numFmtId="4" fontId="20" fillId="0" borderId="1" xfId="0" applyNumberFormat="1" applyFont="1" applyBorder="1"/>
    <xf numFmtId="3" fontId="20" fillId="2" borderId="1" xfId="0" applyNumberFormat="1" applyFont="1" applyFill="1" applyBorder="1"/>
    <xf numFmtId="4" fontId="19" fillId="2" borderId="1" xfId="0" applyNumberFormat="1" applyFont="1" applyFill="1" applyBorder="1"/>
    <xf numFmtId="3" fontId="20" fillId="5" borderId="1" xfId="0" applyNumberFormat="1" applyFont="1" applyFill="1" applyBorder="1"/>
    <xf numFmtId="4" fontId="20" fillId="5" borderId="1" xfId="0" applyNumberFormat="1" applyFont="1" applyFill="1" applyBorder="1"/>
    <xf numFmtId="3" fontId="20" fillId="10" borderId="1" xfId="0" applyNumberFormat="1" applyFont="1" applyFill="1" applyBorder="1"/>
    <xf numFmtId="4" fontId="20" fillId="10" borderId="1" xfId="0" applyNumberFormat="1" applyFont="1" applyFill="1" applyBorder="1"/>
    <xf numFmtId="0" fontId="19" fillId="0" borderId="1" xfId="0" applyFont="1" applyBorder="1"/>
    <xf numFmtId="0" fontId="0" fillId="0" borderId="0" xfId="0" applyAlignment="1">
      <alignment horizontal="center" vertical="center"/>
    </xf>
    <xf numFmtId="0" fontId="0" fillId="3" borderId="0" xfId="0" applyFill="1"/>
    <xf numFmtId="2" fontId="6" fillId="12" borderId="0" xfId="0" applyNumberFormat="1" applyFont="1" applyFill="1"/>
    <xf numFmtId="0" fontId="24" fillId="0" borderId="0" xfId="0" applyFont="1"/>
    <xf numFmtId="3" fontId="24" fillId="0" borderId="0" xfId="0" applyNumberFormat="1" applyFont="1"/>
    <xf numFmtId="3" fontId="12" fillId="6" borderId="1" xfId="1" applyNumberFormat="1" applyFont="1" applyFill="1" applyBorder="1"/>
    <xf numFmtId="10" fontId="0" fillId="0" borderId="1" xfId="0" applyNumberFormat="1" applyBorder="1"/>
    <xf numFmtId="10" fontId="25" fillId="0" borderId="1" xfId="0" applyNumberFormat="1" applyFont="1" applyBorder="1"/>
    <xf numFmtId="10" fontId="26" fillId="0" borderId="1" xfId="0" applyNumberFormat="1" applyFont="1" applyBorder="1"/>
    <xf numFmtId="10" fontId="27" fillId="0" borderId="1" xfId="0" applyNumberFormat="1" applyFont="1" applyBorder="1"/>
    <xf numFmtId="10" fontId="0" fillId="2" borderId="1" xfId="0" applyNumberFormat="1" applyFill="1" applyBorder="1"/>
    <xf numFmtId="10" fontId="0" fillId="0" borderId="1" xfId="0" applyNumberFormat="1" applyFont="1" applyBorder="1"/>
    <xf numFmtId="0" fontId="1" fillId="0" borderId="0" xfId="5"/>
    <xf numFmtId="0" fontId="1" fillId="15" borderId="0" xfId="5" applyFill="1"/>
    <xf numFmtId="0" fontId="29" fillId="15" borderId="0" xfId="5" applyFont="1" applyFill="1"/>
    <xf numFmtId="0" fontId="1" fillId="16" borderId="80" xfId="5" applyFill="1" applyBorder="1"/>
    <xf numFmtId="0" fontId="23" fillId="16" borderId="80" xfId="5" applyFont="1" applyFill="1" applyBorder="1"/>
    <xf numFmtId="0" fontId="1" fillId="17" borderId="80" xfId="5" applyFill="1" applyBorder="1"/>
    <xf numFmtId="14" fontId="1" fillId="0" borderId="0" xfId="5" applyNumberFormat="1"/>
    <xf numFmtId="0" fontId="1" fillId="18" borderId="0" xfId="5" applyFill="1"/>
    <xf numFmtId="14" fontId="1" fillId="18" borderId="0" xfId="5" applyNumberFormat="1" applyFill="1"/>
    <xf numFmtId="0" fontId="0" fillId="18" borderId="0" xfId="0" applyFill="1"/>
    <xf numFmtId="0" fontId="0" fillId="0" borderId="20" xfId="0" applyBorder="1"/>
    <xf numFmtId="3" fontId="0" fillId="13" borderId="10" xfId="0" applyNumberFormat="1" applyFill="1" applyBorder="1"/>
    <xf numFmtId="3" fontId="0" fillId="13" borderId="41" xfId="0" applyNumberFormat="1" applyFill="1" applyBorder="1"/>
    <xf numFmtId="3" fontId="0" fillId="0" borderId="48" xfId="0" applyNumberFormat="1" applyBorder="1"/>
    <xf numFmtId="3" fontId="0" fillId="0" borderId="49" xfId="0" applyNumberFormat="1" applyBorder="1"/>
    <xf numFmtId="3" fontId="0" fillId="13" borderId="48" xfId="0" applyNumberFormat="1" applyFill="1" applyBorder="1"/>
    <xf numFmtId="3" fontId="0" fillId="13" borderId="1" xfId="0" applyNumberFormat="1" applyFill="1" applyBorder="1"/>
    <xf numFmtId="3" fontId="0" fillId="0" borderId="51" xfId="0" applyNumberFormat="1" applyBorder="1"/>
    <xf numFmtId="3" fontId="0" fillId="0" borderId="52" xfId="0" applyNumberFormat="1" applyBorder="1"/>
    <xf numFmtId="3" fontId="0" fillId="0" borderId="53" xfId="0" applyNumberFormat="1" applyBorder="1"/>
    <xf numFmtId="0" fontId="0" fillId="0" borderId="23" xfId="0" applyBorder="1"/>
    <xf numFmtId="3" fontId="0" fillId="0" borderId="58" xfId="0" applyNumberFormat="1" applyBorder="1"/>
    <xf numFmtId="3" fontId="0" fillId="0" borderId="41" xfId="0" applyNumberFormat="1" applyBorder="1"/>
    <xf numFmtId="3" fontId="0" fillId="0" borderId="42" xfId="0" applyNumberFormat="1" applyBorder="1"/>
    <xf numFmtId="3" fontId="0" fillId="0" borderId="6" xfId="0" applyNumberFormat="1" applyBorder="1"/>
    <xf numFmtId="3" fontId="0" fillId="0" borderId="5" xfId="0" applyNumberFormat="1" applyBorder="1"/>
    <xf numFmtId="3" fontId="0" fillId="0" borderId="59" xfId="0" applyNumberFormat="1" applyBorder="1"/>
    <xf numFmtId="3" fontId="0" fillId="0" borderId="62" xfId="0" applyNumberFormat="1" applyBorder="1"/>
    <xf numFmtId="0" fontId="0" fillId="0" borderId="23" xfId="0" applyBorder="1" applyAlignment="1">
      <alignment horizontal="center" vertical="center" textRotation="90"/>
    </xf>
    <xf numFmtId="0" fontId="0" fillId="0" borderId="16" xfId="0" applyBorder="1" applyAlignment="1">
      <alignment horizontal="center" vertical="center" textRotation="90"/>
    </xf>
    <xf numFmtId="3" fontId="0" fillId="0" borderId="10" xfId="0" applyNumberFormat="1" applyBorder="1"/>
    <xf numFmtId="3" fontId="0" fillId="0" borderId="64" xfId="0" applyNumberFormat="1" applyBorder="1"/>
    <xf numFmtId="3" fontId="0" fillId="0" borderId="45" xfId="0" applyNumberFormat="1" applyBorder="1"/>
    <xf numFmtId="3" fontId="0" fillId="0" borderId="46" xfId="0" applyNumberFormat="1" applyBorder="1"/>
    <xf numFmtId="0" fontId="0" fillId="8" borderId="19" xfId="0" applyFill="1" applyBorder="1" applyAlignment="1">
      <alignment horizontal="center"/>
    </xf>
    <xf numFmtId="0" fontId="0" fillId="0" borderId="0" xfId="0"/>
    <xf numFmtId="0" fontId="30" fillId="0" borderId="0" xfId="0" applyFont="1"/>
    <xf numFmtId="3" fontId="30" fillId="3" borderId="19" xfId="0" applyNumberFormat="1" applyFont="1" applyFill="1" applyBorder="1"/>
    <xf numFmtId="3" fontId="30" fillId="9" borderId="19" xfId="0" applyNumberFormat="1" applyFont="1" applyFill="1" applyBorder="1"/>
    <xf numFmtId="3" fontId="30" fillId="0" borderId="19" xfId="0" applyNumberFormat="1" applyFont="1" applyBorder="1"/>
    <xf numFmtId="3" fontId="30" fillId="8" borderId="19" xfId="0" applyNumberFormat="1" applyFont="1" applyFill="1" applyBorder="1"/>
    <xf numFmtId="0" fontId="0" fillId="0" borderId="20" xfId="0" applyBorder="1"/>
    <xf numFmtId="0" fontId="0" fillId="0" borderId="81" xfId="0" applyBorder="1"/>
    <xf numFmtId="9" fontId="0" fillId="0" borderId="81" xfId="0" applyNumberFormat="1" applyBorder="1"/>
    <xf numFmtId="0" fontId="0" fillId="0" borderId="21" xfId="0" applyBorder="1"/>
    <xf numFmtId="0" fontId="0" fillId="0" borderId="22" xfId="0" applyBorder="1"/>
    <xf numFmtId="0" fontId="0" fillId="0" borderId="82" xfId="0" applyBorder="1"/>
    <xf numFmtId="0" fontId="0" fillId="0" borderId="23" xfId="0" applyBorder="1"/>
    <xf numFmtId="0" fontId="0" fillId="0" borderId="83" xfId="0" applyBorder="1"/>
    <xf numFmtId="0" fontId="0" fillId="0" borderId="24" xfId="0" applyBorder="1"/>
    <xf numFmtId="0" fontId="16" fillId="18" borderId="0" xfId="5" applyFont="1" applyFill="1" applyAlignment="1">
      <alignment vertical="center"/>
    </xf>
    <xf numFmtId="6" fontId="16" fillId="18" borderId="0" xfId="5" applyNumberFormat="1" applyFont="1" applyFill="1"/>
    <xf numFmtId="0" fontId="1" fillId="0" borderId="0" xfId="5"/>
    <xf numFmtId="0" fontId="31" fillId="0" borderId="0" xfId="5" applyFont="1"/>
    <xf numFmtId="0" fontId="6" fillId="0" borderId="0" xfId="5" applyFont="1" applyAlignment="1">
      <alignment vertical="center"/>
    </xf>
    <xf numFmtId="0" fontId="7" fillId="0" borderId="0" xfId="5" applyFont="1" applyAlignment="1">
      <alignment vertical="center"/>
    </xf>
    <xf numFmtId="0" fontId="35" fillId="0" borderId="0" xfId="5" applyFont="1" applyAlignment="1">
      <alignment vertical="center"/>
    </xf>
    <xf numFmtId="168" fontId="1" fillId="0" borderId="0" xfId="5" applyNumberFormat="1"/>
    <xf numFmtId="0" fontId="16" fillId="0" borderId="0" xfId="5" applyFont="1" applyAlignment="1">
      <alignment vertical="center"/>
    </xf>
    <xf numFmtId="0" fontId="42" fillId="0" borderId="0" xfId="5" applyFont="1"/>
    <xf numFmtId="168" fontId="16" fillId="0" borderId="0" xfId="5" applyNumberFormat="1" applyFont="1"/>
    <xf numFmtId="0" fontId="7" fillId="0" borderId="0" xfId="5" applyFont="1"/>
    <xf numFmtId="168" fontId="36" fillId="0" borderId="0" xfId="5" applyNumberFormat="1" applyFont="1"/>
    <xf numFmtId="42" fontId="16" fillId="0" borderId="0" xfId="5" applyNumberFormat="1" applyFont="1"/>
    <xf numFmtId="169" fontId="7" fillId="0" borderId="0" xfId="5" applyNumberFormat="1" applyFont="1"/>
    <xf numFmtId="0" fontId="21" fillId="7" borderId="84" xfId="5" applyFont="1" applyFill="1" applyBorder="1"/>
    <xf numFmtId="0" fontId="1" fillId="2" borderId="84" xfId="5" applyFill="1" applyBorder="1"/>
    <xf numFmtId="168" fontId="16" fillId="2" borderId="84" xfId="5" applyNumberFormat="1" applyFont="1" applyFill="1" applyBorder="1"/>
    <xf numFmtId="0" fontId="22" fillId="0" borderId="0" xfId="5" applyFont="1"/>
    <xf numFmtId="0" fontId="1" fillId="11" borderId="84" xfId="5" applyFill="1" applyBorder="1"/>
    <xf numFmtId="168" fontId="16" fillId="11" borderId="84" xfId="5" applyNumberFormat="1" applyFont="1" applyFill="1" applyBorder="1"/>
    <xf numFmtId="0" fontId="21" fillId="7" borderId="85" xfId="5" applyFont="1" applyFill="1" applyBorder="1"/>
    <xf numFmtId="0" fontId="32" fillId="0" borderId="0" xfId="5" applyFont="1" applyAlignment="1">
      <alignment horizontal="left" vertical="center"/>
    </xf>
    <xf numFmtId="0" fontId="1" fillId="2" borderId="85" xfId="5" applyFill="1" applyBorder="1"/>
    <xf numFmtId="42" fontId="39" fillId="2" borderId="86" xfId="5" applyNumberFormat="1" applyFont="1" applyFill="1" applyBorder="1"/>
    <xf numFmtId="168" fontId="38" fillId="7" borderId="0" xfId="5" applyNumberFormat="1" applyFont="1" applyFill="1"/>
    <xf numFmtId="0" fontId="37" fillId="0" borderId="0" xfId="5" applyFont="1"/>
    <xf numFmtId="0" fontId="16" fillId="11" borderId="0" xfId="5" applyFont="1" applyFill="1" applyAlignment="1">
      <alignment vertical="center"/>
    </xf>
    <xf numFmtId="42" fontId="40" fillId="2" borderId="86" xfId="5" applyNumberFormat="1" applyFont="1" applyFill="1" applyBorder="1"/>
    <xf numFmtId="168" fontId="16" fillId="11" borderId="0" xfId="5" applyNumberFormat="1" applyFont="1" applyFill="1" applyAlignment="1">
      <alignment horizontal="right"/>
    </xf>
    <xf numFmtId="0" fontId="33" fillId="7" borderId="1" xfId="5" applyFont="1" applyFill="1" applyBorder="1" applyAlignment="1">
      <alignment horizontal="center" vertical="center"/>
    </xf>
    <xf numFmtId="0" fontId="33" fillId="7" borderId="1" xfId="5" applyFont="1" applyFill="1" applyBorder="1" applyAlignment="1">
      <alignment horizontal="center" vertical="center" wrapText="1"/>
    </xf>
    <xf numFmtId="0" fontId="33" fillId="0" borderId="0" xfId="5" applyFont="1" applyAlignment="1">
      <alignment horizontal="center"/>
    </xf>
    <xf numFmtId="49" fontId="14" fillId="0" borderId="0" xfId="5" applyNumberFormat="1" applyFont="1" applyAlignment="1">
      <alignment horizontal="center" vertical="center"/>
    </xf>
    <xf numFmtId="6" fontId="16" fillId="0" borderId="0" xfId="5" applyNumberFormat="1" applyFont="1" applyAlignment="1">
      <alignment horizontal="right"/>
    </xf>
    <xf numFmtId="49" fontId="34" fillId="0" borderId="0" xfId="5" applyNumberFormat="1" applyFont="1" applyAlignment="1">
      <alignment horizontal="center" vertical="center"/>
    </xf>
    <xf numFmtId="49" fontId="14" fillId="11" borderId="0" xfId="5" applyNumberFormat="1" applyFont="1" applyFill="1" applyAlignment="1">
      <alignment horizontal="center" vertical="center"/>
    </xf>
    <xf numFmtId="168" fontId="38" fillId="2" borderId="84" xfId="5" applyNumberFormat="1" applyFont="1" applyFill="1" applyBorder="1"/>
    <xf numFmtId="168" fontId="16" fillId="0" borderId="0" xfId="5" applyNumberFormat="1" applyFont="1" applyFill="1"/>
    <xf numFmtId="14" fontId="6" fillId="11" borderId="0" xfId="5" applyNumberFormat="1" applyFont="1" applyFill="1" applyAlignment="1">
      <alignment horizontal="right"/>
    </xf>
    <xf numFmtId="0" fontId="38" fillId="2" borderId="84" xfId="5" applyFont="1" applyFill="1" applyBorder="1" applyAlignment="1">
      <alignment vertical="center"/>
    </xf>
    <xf numFmtId="0" fontId="38" fillId="0" borderId="0" xfId="5" applyFont="1" applyAlignment="1">
      <alignment vertical="center"/>
    </xf>
    <xf numFmtId="42" fontId="38" fillId="0" borderId="0" xfId="5" applyNumberFormat="1" applyFont="1"/>
    <xf numFmtId="168" fontId="38" fillId="0" borderId="0" xfId="5" applyNumberFormat="1" applyFont="1"/>
    <xf numFmtId="0" fontId="36" fillId="0" borderId="0" xfId="5" applyFont="1"/>
    <xf numFmtId="42" fontId="38" fillId="2" borderId="84" xfId="5" applyNumberFormat="1" applyFont="1" applyFill="1" applyBorder="1"/>
    <xf numFmtId="5" fontId="16" fillId="0" borderId="0" xfId="5" applyNumberFormat="1" applyFont="1" applyAlignment="1">
      <alignment horizontal="right"/>
    </xf>
    <xf numFmtId="0" fontId="38" fillId="11" borderId="84" xfId="5" applyFont="1" applyFill="1" applyBorder="1" applyAlignment="1">
      <alignment vertical="center"/>
    </xf>
    <xf numFmtId="42" fontId="38" fillId="11" borderId="85" xfId="5" applyNumberFormat="1" applyFont="1" applyFill="1" applyBorder="1"/>
    <xf numFmtId="168" fontId="38" fillId="11" borderId="84" xfId="5" applyNumberFormat="1" applyFont="1" applyFill="1" applyBorder="1"/>
    <xf numFmtId="0" fontId="38" fillId="7" borderId="84" xfId="5" applyFont="1" applyFill="1" applyBorder="1" applyAlignment="1">
      <alignment vertical="center"/>
    </xf>
    <xf numFmtId="42" fontId="38" fillId="7" borderId="85" xfId="5" applyNumberFormat="1" applyFont="1" applyFill="1" applyBorder="1"/>
    <xf numFmtId="168" fontId="38" fillId="7" borderId="85" xfId="5" applyNumberFormat="1" applyFont="1" applyFill="1" applyBorder="1"/>
    <xf numFmtId="168" fontId="43" fillId="3" borderId="85" xfId="5" applyNumberFormat="1" applyFont="1" applyFill="1" applyBorder="1"/>
    <xf numFmtId="0" fontId="38" fillId="7" borderId="85" xfId="5" applyFont="1" applyFill="1" applyBorder="1" applyAlignment="1">
      <alignment vertical="center"/>
    </xf>
    <xf numFmtId="42" fontId="38" fillId="7" borderId="85" xfId="5" applyNumberFormat="1" applyFont="1" applyFill="1" applyBorder="1" applyAlignment="1">
      <alignment horizontal="right"/>
    </xf>
    <xf numFmtId="168" fontId="35" fillId="0" borderId="0" xfId="5" applyNumberFormat="1" applyFont="1"/>
    <xf numFmtId="42" fontId="38" fillId="2" borderId="84" xfId="5" applyNumberFormat="1" applyFont="1" applyFill="1" applyBorder="1" applyAlignment="1">
      <alignment horizontal="right"/>
    </xf>
    <xf numFmtId="49" fontId="14" fillId="0" borderId="0" xfId="5" applyNumberFormat="1" applyFont="1" applyFill="1" applyAlignment="1">
      <alignment horizontal="center" vertical="center"/>
    </xf>
    <xf numFmtId="6" fontId="16" fillId="0" borderId="0" xfId="5" applyNumberFormat="1" applyFont="1" applyFill="1" applyAlignment="1">
      <alignment horizontal="right"/>
    </xf>
    <xf numFmtId="0" fontId="41" fillId="0" borderId="0" xfId="5" applyFont="1" applyAlignment="1">
      <alignment vertical="center"/>
    </xf>
    <xf numFmtId="49" fontId="14" fillId="18" borderId="0" xfId="5" applyNumberFormat="1" applyFont="1" applyFill="1" applyAlignment="1">
      <alignment horizontal="center" vertical="center"/>
    </xf>
    <xf numFmtId="168" fontId="16" fillId="18" borderId="0" xfId="5" applyNumberFormat="1" applyFont="1" applyFill="1"/>
    <xf numFmtId="0" fontId="0" fillId="0" borderId="0" xfId="0"/>
    <xf numFmtId="42" fontId="0" fillId="0" borderId="0" xfId="0" applyNumberFormat="1"/>
    <xf numFmtId="42" fontId="6" fillId="12" borderId="0" xfId="0" applyNumberFormat="1" applyFont="1" applyFill="1"/>
    <xf numFmtId="0" fontId="6" fillId="12" borderId="0" xfId="0" applyFont="1" applyFill="1"/>
    <xf numFmtId="0" fontId="6" fillId="10" borderId="0" xfId="0" applyFont="1" applyFill="1"/>
    <xf numFmtId="0" fontId="1" fillId="3" borderId="0" xfId="5" applyFill="1"/>
    <xf numFmtId="14" fontId="1" fillId="3" borderId="0" xfId="5" applyNumberFormat="1" applyFill="1"/>
    <xf numFmtId="0" fontId="0" fillId="12" borderId="0" xfId="0" applyFill="1"/>
    <xf numFmtId="0" fontId="0" fillId="10" borderId="0" xfId="0" applyFill="1"/>
    <xf numFmtId="4" fontId="1" fillId="16" borderId="80" xfId="5" applyNumberFormat="1" applyFill="1" applyBorder="1"/>
    <xf numFmtId="4" fontId="1" fillId="12" borderId="80" xfId="5" applyNumberFormat="1" applyFill="1" applyBorder="1"/>
    <xf numFmtId="0" fontId="1" fillId="12" borderId="0" xfId="5" applyFill="1"/>
    <xf numFmtId="0" fontId="1" fillId="0" borderId="0" xfId="5"/>
    <xf numFmtId="0" fontId="1" fillId="15" borderId="0" xfId="5" applyFill="1"/>
    <xf numFmtId="0" fontId="29" fillId="15" borderId="0" xfId="5" applyFont="1" applyFill="1"/>
    <xf numFmtId="0" fontId="1" fillId="16" borderId="80" xfId="5" applyFill="1" applyBorder="1"/>
    <xf numFmtId="0" fontId="23" fillId="16" borderId="80" xfId="5" applyFont="1" applyFill="1" applyBorder="1"/>
    <xf numFmtId="0" fontId="1" fillId="17" borderId="80" xfId="5" applyFill="1" applyBorder="1"/>
    <xf numFmtId="14" fontId="1" fillId="0" borderId="0" xfId="5" applyNumberFormat="1"/>
    <xf numFmtId="17" fontId="1" fillId="0" borderId="0" xfId="5" applyNumberFormat="1"/>
    <xf numFmtId="3" fontId="12" fillId="5" borderId="1" xfId="1" applyNumberFormat="1" applyFont="1" applyFill="1" applyBorder="1"/>
    <xf numFmtId="3" fontId="12" fillId="19" borderId="1" xfId="1" applyNumberFormat="1" applyFont="1" applyFill="1" applyBorder="1"/>
    <xf numFmtId="0" fontId="44" fillId="0" borderId="0" xfId="0" applyFont="1"/>
    <xf numFmtId="0" fontId="44" fillId="3" borderId="0" xfId="0" applyFont="1" applyFill="1"/>
    <xf numFmtId="0" fontId="0" fillId="20" borderId="0" xfId="0" applyFill="1"/>
    <xf numFmtId="168" fontId="16" fillId="12" borderId="0" xfId="0" applyNumberFormat="1" applyFont="1" applyFill="1"/>
    <xf numFmtId="168" fontId="16" fillId="7" borderId="0" xfId="0" applyNumberFormat="1" applyFont="1" applyFill="1"/>
    <xf numFmtId="6" fontId="16" fillId="12" borderId="0" xfId="0" applyNumberFormat="1" applyFont="1" applyFill="1" applyAlignment="1">
      <alignment horizontal="right"/>
    </xf>
    <xf numFmtId="6" fontId="16" fillId="12" borderId="0" xfId="0" applyNumberFormat="1" applyFont="1" applyFill="1"/>
    <xf numFmtId="6" fontId="16" fillId="7" borderId="0" xfId="0" applyNumberFormat="1" applyFont="1" applyFill="1"/>
    <xf numFmtId="168" fontId="38" fillId="2" borderId="84" xfId="0" applyNumberFormat="1" applyFont="1" applyFill="1" applyBorder="1"/>
    <xf numFmtId="42" fontId="38" fillId="0" borderId="0" xfId="0" applyNumberFormat="1" applyFont="1"/>
    <xf numFmtId="42" fontId="16" fillId="0" borderId="0" xfId="0" applyNumberFormat="1" applyFont="1"/>
    <xf numFmtId="42" fontId="16" fillId="7" borderId="0" xfId="0" applyNumberFormat="1" applyFont="1" applyFill="1"/>
    <xf numFmtId="6" fontId="16" fillId="7" borderId="0" xfId="5" applyNumberFormat="1" applyFont="1" applyFill="1" applyAlignment="1">
      <alignment horizontal="right"/>
    </xf>
    <xf numFmtId="6" fontId="35" fillId="7" borderId="0" xfId="5" applyNumberFormat="1" applyFont="1" applyFill="1" applyAlignment="1">
      <alignment horizontal="right"/>
    </xf>
    <xf numFmtId="42" fontId="16" fillId="7" borderId="0" xfId="5" applyNumberFormat="1" applyFont="1" applyFill="1"/>
    <xf numFmtId="5" fontId="16" fillId="12" borderId="0" xfId="5" applyNumberFormat="1" applyFont="1" applyFill="1" applyBorder="1" applyAlignment="1"/>
    <xf numFmtId="49" fontId="0" fillId="0" borderId="0" xfId="0" applyNumberFormat="1"/>
    <xf numFmtId="49" fontId="0" fillId="7" borderId="0" xfId="0" applyNumberFormat="1" applyFill="1"/>
    <xf numFmtId="0" fontId="0" fillId="7" borderId="0" xfId="0" applyFill="1"/>
    <xf numFmtId="168" fontId="16" fillId="0" borderId="0" xfId="0" applyNumberFormat="1" applyFont="1"/>
    <xf numFmtId="49" fontId="0" fillId="12" borderId="0" xfId="0" applyNumberFormat="1" applyFill="1"/>
    <xf numFmtId="0" fontId="33" fillId="7" borderId="1" xfId="0" applyFont="1" applyFill="1" applyBorder="1" applyAlignment="1">
      <alignment horizontal="center" vertical="center"/>
    </xf>
    <xf numFmtId="168" fontId="0" fillId="0" borderId="0" xfId="0" applyNumberFormat="1"/>
    <xf numFmtId="6" fontId="0" fillId="0" borderId="0" xfId="0" applyNumberFormat="1"/>
    <xf numFmtId="5" fontId="0" fillId="0" borderId="0" xfId="0" applyNumberFormat="1"/>
    <xf numFmtId="168" fontId="0" fillId="20" borderId="0" xfId="0" applyNumberFormat="1" applyFill="1"/>
    <xf numFmtId="168" fontId="6" fillId="10" borderId="0" xfId="0" applyNumberFormat="1" applyFont="1" applyFill="1"/>
    <xf numFmtId="168" fontId="0" fillId="0" borderId="0" xfId="0" applyNumberFormat="1" applyFill="1"/>
    <xf numFmtId="0" fontId="45" fillId="0" borderId="0" xfId="0" applyFont="1"/>
    <xf numFmtId="3" fontId="6" fillId="20" borderId="9" xfId="0" applyNumberFormat="1" applyFont="1" applyFill="1" applyBorder="1"/>
    <xf numFmtId="3" fontId="0" fillId="12" borderId="0" xfId="0" applyNumberFormat="1" applyFill="1"/>
    <xf numFmtId="0" fontId="0" fillId="0" borderId="0" xfId="0" applyFont="1"/>
    <xf numFmtId="0" fontId="26" fillId="0" borderId="0" xfId="0" applyFont="1" applyFill="1"/>
    <xf numFmtId="3" fontId="6" fillId="12" borderId="9" xfId="0" applyNumberFormat="1" applyFont="1" applyFill="1" applyBorder="1"/>
    <xf numFmtId="9" fontId="0" fillId="0" borderId="0" xfId="0" applyNumberFormat="1"/>
    <xf numFmtId="10" fontId="0" fillId="0" borderId="0" xfId="0" applyNumberFormat="1"/>
    <xf numFmtId="3" fontId="7" fillId="0" borderId="0" xfId="0" applyNumberFormat="1" applyFont="1"/>
    <xf numFmtId="0" fontId="22" fillId="0" borderId="0" xfId="0" applyFont="1"/>
    <xf numFmtId="0" fontId="46" fillId="0" borderId="0" xfId="0" applyFont="1"/>
    <xf numFmtId="0" fontId="47" fillId="0" borderId="0" xfId="0" applyFont="1"/>
    <xf numFmtId="0" fontId="48" fillId="0" borderId="0" xfId="5" applyFont="1"/>
    <xf numFmtId="0" fontId="47" fillId="0" borderId="0" xfId="5" applyFont="1"/>
    <xf numFmtId="0" fontId="49" fillId="0" borderId="0" xfId="5" applyFont="1"/>
    <xf numFmtId="0" fontId="51" fillId="0" borderId="0" xfId="5" applyFont="1"/>
    <xf numFmtId="0" fontId="52" fillId="0" borderId="1" xfId="5" applyFont="1" applyBorder="1"/>
    <xf numFmtId="0" fontId="47" fillId="0" borderId="1" xfId="5" applyFont="1" applyBorder="1"/>
    <xf numFmtId="4" fontId="47" fillId="3" borderId="1" xfId="5" applyNumberFormat="1" applyFont="1" applyFill="1" applyBorder="1" applyAlignment="1">
      <alignment horizontal="center"/>
    </xf>
    <xf numFmtId="3" fontId="53" fillId="0" borderId="0" xfId="5" applyNumberFormat="1" applyFont="1" applyAlignment="1">
      <alignment horizontal="left"/>
    </xf>
    <xf numFmtId="0" fontId="52" fillId="2" borderId="1" xfId="5" applyFont="1" applyFill="1" applyBorder="1" applyAlignment="1">
      <alignment horizontal="center"/>
    </xf>
    <xf numFmtId="0" fontId="47" fillId="0" borderId="1" xfId="5" applyFont="1" applyBorder="1" applyAlignment="1">
      <alignment horizontal="center"/>
    </xf>
    <xf numFmtId="0" fontId="47" fillId="11" borderId="0" xfId="5" applyFont="1" applyFill="1" applyAlignment="1">
      <alignment horizontal="center"/>
    </xf>
    <xf numFmtId="0" fontId="47" fillId="3" borderId="1" xfId="5" applyFont="1" applyFill="1" applyBorder="1" applyAlignment="1">
      <alignment horizontal="center"/>
    </xf>
    <xf numFmtId="3" fontId="54" fillId="0" borderId="0" xfId="5" applyNumberFormat="1" applyFont="1" applyAlignment="1">
      <alignment horizontal="left"/>
    </xf>
    <xf numFmtId="0" fontId="52" fillId="0" borderId="1" xfId="5" applyFont="1" applyBorder="1" applyAlignment="1">
      <alignment horizontal="center"/>
    </xf>
    <xf numFmtId="0" fontId="52" fillId="11" borderId="0" xfId="5" applyFont="1" applyFill="1"/>
    <xf numFmtId="4" fontId="47" fillId="0" borderId="1" xfId="5" applyNumberFormat="1" applyFont="1" applyBorder="1"/>
    <xf numFmtId="4" fontId="54" fillId="11" borderId="0" xfId="5" applyNumberFormat="1" applyFont="1" applyFill="1"/>
    <xf numFmtId="4" fontId="52" fillId="12" borderId="1" xfId="5" applyNumberFormat="1" applyFont="1" applyFill="1" applyBorder="1"/>
    <xf numFmtId="4" fontId="52" fillId="0" borderId="1" xfId="5" applyNumberFormat="1" applyFont="1" applyBorder="1"/>
    <xf numFmtId="4" fontId="52" fillId="0" borderId="0" xfId="5" applyNumberFormat="1" applyFont="1"/>
    <xf numFmtId="17" fontId="47" fillId="0" borderId="1" xfId="5" applyNumberFormat="1" applyFont="1" applyBorder="1" applyAlignment="1">
      <alignment horizontal="center" vertical="center"/>
    </xf>
    <xf numFmtId="0" fontId="47" fillId="0" borderId="1" xfId="5" applyFont="1" applyBorder="1" applyAlignment="1">
      <alignment horizontal="center" vertical="center"/>
    </xf>
    <xf numFmtId="0" fontId="47" fillId="0" borderId="68" xfId="5" applyFont="1" applyBorder="1" applyAlignment="1">
      <alignment horizontal="center" vertical="center"/>
    </xf>
    <xf numFmtId="0" fontId="47" fillId="0" borderId="79" xfId="5" applyFont="1" applyBorder="1"/>
    <xf numFmtId="4" fontId="47" fillId="0" borderId="78" xfId="5" applyNumberFormat="1" applyFont="1" applyBorder="1"/>
    <xf numFmtId="0" fontId="47" fillId="0" borderId="69" xfId="5" applyFont="1" applyBorder="1"/>
    <xf numFmtId="4" fontId="47" fillId="0" borderId="74" xfId="5" applyNumberFormat="1" applyFont="1" applyBorder="1"/>
    <xf numFmtId="0" fontId="47" fillId="0" borderId="74" xfId="5" applyFont="1" applyBorder="1"/>
    <xf numFmtId="4" fontId="47" fillId="0" borderId="71" xfId="5" applyNumberFormat="1" applyFont="1" applyBorder="1"/>
    <xf numFmtId="0" fontId="47" fillId="0" borderId="75" xfId="5" applyFont="1" applyBorder="1"/>
    <xf numFmtId="4" fontId="47" fillId="0" borderId="76" xfId="5" applyNumberFormat="1" applyFont="1" applyBorder="1"/>
    <xf numFmtId="4" fontId="47" fillId="0" borderId="77" xfId="5" applyNumberFormat="1" applyFont="1" applyBorder="1"/>
    <xf numFmtId="0" fontId="44" fillId="3" borderId="0" xfId="5" applyFont="1" applyFill="1"/>
    <xf numFmtId="4" fontId="44" fillId="0" borderId="0" xfId="5" applyNumberFormat="1" applyFont="1"/>
    <xf numFmtId="4" fontId="44" fillId="3" borderId="0" xfId="5" applyNumberFormat="1" applyFont="1" applyFill="1"/>
    <xf numFmtId="0" fontId="44" fillId="9" borderId="0" xfId="5" applyFont="1" applyFill="1"/>
    <xf numFmtId="4" fontId="44" fillId="9" borderId="0" xfId="5" applyNumberFormat="1" applyFont="1" applyFill="1"/>
    <xf numFmtId="0" fontId="44" fillId="14" borderId="0" xfId="5" applyFont="1" applyFill="1"/>
    <xf numFmtId="4" fontId="44" fillId="12" borderId="0" xfId="5" applyNumberFormat="1" applyFont="1" applyFill="1"/>
    <xf numFmtId="4" fontId="47" fillId="0" borderId="0" xfId="5" applyNumberFormat="1" applyFont="1"/>
    <xf numFmtId="3" fontId="0" fillId="0" borderId="0" xfId="0" applyNumberFormat="1" applyFont="1"/>
    <xf numFmtId="0" fontId="57" fillId="21" borderId="1" xfId="0" applyFont="1" applyFill="1" applyBorder="1" applyAlignment="1">
      <alignment horizontal="center" vertical="center" wrapText="1"/>
    </xf>
    <xf numFmtId="0" fontId="57" fillId="11" borderId="5" xfId="0" applyFont="1" applyFill="1" applyBorder="1" applyAlignment="1">
      <alignment horizontal="left" vertical="center" wrapText="1"/>
    </xf>
    <xf numFmtId="0" fontId="57" fillId="11" borderId="6" xfId="0" applyFont="1" applyFill="1" applyBorder="1" applyAlignment="1">
      <alignment horizontal="left" vertical="center" wrapText="1"/>
    </xf>
    <xf numFmtId="3" fontId="57" fillId="21" borderId="1" xfId="0" applyNumberFormat="1" applyFont="1" applyFill="1" applyBorder="1" applyAlignment="1">
      <alignment horizontal="center" vertical="center" wrapText="1"/>
    </xf>
    <xf numFmtId="3" fontId="57" fillId="22" borderId="0" xfId="0" applyNumberFormat="1" applyFont="1" applyFill="1" applyAlignment="1">
      <alignment horizontal="center" vertical="center" wrapText="1"/>
    </xf>
    <xf numFmtId="3" fontId="57" fillId="10" borderId="1" xfId="0" quotePrefix="1" applyNumberFormat="1" applyFont="1" applyFill="1" applyBorder="1" applyAlignment="1">
      <alignment horizontal="center" vertical="center"/>
    </xf>
    <xf numFmtId="3" fontId="57" fillId="23" borderId="0" xfId="0" quotePrefix="1" applyNumberFormat="1" applyFont="1" applyFill="1" applyAlignment="1">
      <alignment horizontal="center" vertical="center"/>
    </xf>
    <xf numFmtId="3" fontId="44" fillId="9" borderId="19" xfId="0" applyNumberFormat="1" applyFont="1" applyFill="1" applyBorder="1"/>
    <xf numFmtId="3" fontId="57" fillId="3" borderId="1" xfId="0" applyNumberFormat="1" applyFont="1" applyFill="1" applyBorder="1" applyAlignment="1">
      <alignment horizontal="center" vertical="center" wrapText="1"/>
    </xf>
    <xf numFmtId="9" fontId="57" fillId="3" borderId="1" xfId="0" applyNumberFormat="1" applyFont="1" applyFill="1" applyBorder="1" applyAlignment="1">
      <alignment horizontal="center" vertical="center" wrapText="1"/>
    </xf>
    <xf numFmtId="0" fontId="47" fillId="0" borderId="0" xfId="0" applyFont="1" applyFill="1"/>
    <xf numFmtId="0" fontId="0" fillId="0" borderId="0" xfId="0" applyFont="1" applyFill="1"/>
    <xf numFmtId="0" fontId="45" fillId="0" borderId="0" xfId="0" applyFont="1" applyFill="1" applyAlignment="1">
      <alignment vertical="center" wrapText="1"/>
    </xf>
    <xf numFmtId="0" fontId="57" fillId="0" borderId="0" xfId="0" applyFont="1" applyFill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25" xfId="1" applyFont="1" applyFill="1" applyBorder="1" applyAlignment="1">
      <alignment vertical="center"/>
    </xf>
    <xf numFmtId="0" fontId="3" fillId="2" borderId="26" xfId="1" applyFont="1" applyFill="1" applyBorder="1" applyAlignment="1">
      <alignment vertical="center"/>
    </xf>
    <xf numFmtId="0" fontId="3" fillId="2" borderId="27" xfId="1" applyFont="1" applyFill="1" applyBorder="1" applyAlignment="1">
      <alignment vertical="center"/>
    </xf>
    <xf numFmtId="0" fontId="3" fillId="2" borderId="28" xfId="1" applyFont="1" applyFill="1" applyBorder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3" fillId="0" borderId="2" xfId="1" applyFont="1" applyBorder="1" applyAlignment="1">
      <alignment horizontal="center" vertical="center" textRotation="90"/>
    </xf>
    <xf numFmtId="0" fontId="3" fillId="0" borderId="3" xfId="1" applyFont="1" applyBorder="1" applyAlignment="1">
      <alignment horizontal="center" vertical="center" textRotation="90"/>
    </xf>
    <xf numFmtId="0" fontId="3" fillId="0" borderId="4" xfId="1" applyFont="1" applyBorder="1" applyAlignment="1">
      <alignment horizontal="center" vertical="center" textRotation="90"/>
    </xf>
    <xf numFmtId="0" fontId="3" fillId="0" borderId="5" xfId="1" applyFont="1" applyBorder="1" applyAlignment="1">
      <alignment horizontal="left"/>
    </xf>
    <xf numFmtId="0" fontId="3" fillId="0" borderId="6" xfId="1" applyFont="1" applyBorder="1" applyAlignment="1">
      <alignment horizontal="left"/>
    </xf>
    <xf numFmtId="0" fontId="11" fillId="10" borderId="1" xfId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1" fillId="5" borderId="1" xfId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4" fillId="0" borderId="5" xfId="1" applyFont="1" applyBorder="1" applyAlignment="1">
      <alignment horizontal="left"/>
    </xf>
    <xf numFmtId="0" fontId="4" fillId="0" borderId="6" xfId="1" applyFont="1" applyBorder="1" applyAlignment="1">
      <alignment horizontal="left"/>
    </xf>
    <xf numFmtId="0" fontId="3" fillId="0" borderId="2" xfId="1" applyFont="1" applyBorder="1" applyAlignment="1">
      <alignment horizontal="center" vertical="center" textRotation="90" wrapText="1"/>
    </xf>
    <xf numFmtId="0" fontId="3" fillId="0" borderId="3" xfId="1" applyFont="1" applyBorder="1" applyAlignment="1">
      <alignment horizontal="center" vertical="center" textRotation="90" wrapText="1"/>
    </xf>
    <xf numFmtId="0" fontId="3" fillId="0" borderId="4" xfId="1" applyFont="1" applyBorder="1" applyAlignment="1">
      <alignment horizontal="center" vertical="center" textRotation="90" wrapText="1"/>
    </xf>
    <xf numFmtId="3" fontId="12" fillId="0" borderId="5" xfId="1" applyNumberFormat="1" applyFont="1" applyBorder="1" applyAlignment="1"/>
    <xf numFmtId="3" fontId="12" fillId="0" borderId="6" xfId="1" applyNumberFormat="1" applyFont="1" applyBorder="1" applyAlignment="1"/>
    <xf numFmtId="4" fontId="12" fillId="0" borderId="5" xfId="1" applyNumberFormat="1" applyFont="1" applyBorder="1" applyAlignment="1"/>
    <xf numFmtId="4" fontId="12" fillId="0" borderId="6" xfId="1" applyNumberFormat="1" applyFont="1" applyBorder="1" applyAlignment="1"/>
    <xf numFmtId="0" fontId="12" fillId="0" borderId="5" xfId="1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1" fillId="0" borderId="5" xfId="1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12" fillId="0" borderId="5" xfId="1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1" fillId="0" borderId="0" xfId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horizontal="right" vertical="center"/>
    </xf>
    <xf numFmtId="0" fontId="11" fillId="0" borderId="2" xfId="1" applyFont="1" applyBorder="1" applyAlignment="1">
      <alignment horizontal="center" vertical="center" textRotation="90"/>
    </xf>
    <xf numFmtId="0" fontId="13" fillId="0" borderId="3" xfId="0" applyFont="1" applyBorder="1" applyAlignment="1">
      <alignment horizontal="center" vertical="center" textRotation="90"/>
    </xf>
    <xf numFmtId="0" fontId="13" fillId="0" borderId="4" xfId="0" applyFont="1" applyBorder="1" applyAlignment="1">
      <alignment horizontal="center" vertical="center" textRotation="90"/>
    </xf>
    <xf numFmtId="0" fontId="11" fillId="0" borderId="2" xfId="1" applyFont="1" applyBorder="1" applyAlignment="1">
      <alignment horizontal="center" vertical="center" textRotation="90" wrapText="1"/>
    </xf>
    <xf numFmtId="0" fontId="13" fillId="0" borderId="3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6" fillId="0" borderId="6" xfId="0" applyFont="1" applyBorder="1" applyAlignment="1">
      <alignment horizontal="left"/>
    </xf>
    <xf numFmtId="0" fontId="57" fillId="11" borderId="5" xfId="0" applyFont="1" applyFill="1" applyBorder="1" applyAlignment="1">
      <alignment horizontal="left" vertical="center" wrapText="1"/>
    </xf>
    <xf numFmtId="0" fontId="57" fillId="11" borderId="6" xfId="0" applyFont="1" applyFill="1" applyBorder="1" applyAlignment="1">
      <alignment horizontal="left" vertical="center" wrapText="1"/>
    </xf>
    <xf numFmtId="0" fontId="57" fillId="10" borderId="5" xfId="0" applyFont="1" applyFill="1" applyBorder="1" applyAlignment="1">
      <alignment horizontal="left" vertical="center" wrapText="1"/>
    </xf>
    <xf numFmtId="0" fontId="57" fillId="10" borderId="6" xfId="0" applyFont="1" applyFill="1" applyBorder="1" applyAlignment="1">
      <alignment horizontal="left" vertical="center" wrapText="1"/>
    </xf>
    <xf numFmtId="0" fontId="56" fillId="0" borderId="0" xfId="0" applyFont="1" applyFill="1" applyAlignment="1">
      <alignment horizontal="left"/>
    </xf>
    <xf numFmtId="0" fontId="45" fillId="11" borderId="25" xfId="0" applyFont="1" applyFill="1" applyBorder="1" applyAlignment="1">
      <alignment horizontal="center" vertical="center" wrapText="1"/>
    </xf>
    <xf numFmtId="0" fontId="45" fillId="11" borderId="26" xfId="0" applyFont="1" applyFill="1" applyBorder="1" applyAlignment="1">
      <alignment horizontal="center" vertical="center" wrapText="1"/>
    </xf>
    <xf numFmtId="0" fontId="45" fillId="11" borderId="87" xfId="0" applyFont="1" applyFill="1" applyBorder="1" applyAlignment="1">
      <alignment horizontal="center" vertical="center" wrapText="1"/>
    </xf>
    <xf numFmtId="0" fontId="45" fillId="11" borderId="88" xfId="0" applyFont="1" applyFill="1" applyBorder="1" applyAlignment="1">
      <alignment horizontal="center" vertical="center" wrapText="1"/>
    </xf>
    <xf numFmtId="0" fontId="45" fillId="11" borderId="27" xfId="0" applyFont="1" applyFill="1" applyBorder="1" applyAlignment="1">
      <alignment horizontal="center" vertical="center" wrapText="1"/>
    </xf>
    <xf numFmtId="0" fontId="45" fillId="11" borderId="28" xfId="0" applyFont="1" applyFill="1" applyBorder="1" applyAlignment="1">
      <alignment horizontal="center" vertical="center" wrapText="1"/>
    </xf>
    <xf numFmtId="0" fontId="45" fillId="21" borderId="5" xfId="0" applyFont="1" applyFill="1" applyBorder="1" applyAlignment="1">
      <alignment horizontal="center" vertical="center" wrapText="1"/>
    </xf>
    <xf numFmtId="0" fontId="45" fillId="21" borderId="65" xfId="0" applyFont="1" applyFill="1" applyBorder="1" applyAlignment="1">
      <alignment horizontal="center" vertical="center" wrapText="1"/>
    </xf>
    <xf numFmtId="0" fontId="45" fillId="21" borderId="6" xfId="0" applyFont="1" applyFill="1" applyBorder="1" applyAlignment="1">
      <alignment horizontal="center" vertical="center" wrapText="1"/>
    </xf>
    <xf numFmtId="0" fontId="57" fillId="21" borderId="1" xfId="0" applyFont="1" applyFill="1" applyBorder="1" applyAlignment="1">
      <alignment horizontal="center" vertical="center" wrapText="1"/>
    </xf>
    <xf numFmtId="0" fontId="55" fillId="0" borderId="70" xfId="5" applyFont="1" applyBorder="1" applyAlignment="1">
      <alignment horizontal="center" vertical="center"/>
    </xf>
    <xf numFmtId="0" fontId="47" fillId="0" borderId="66" xfId="5" applyFont="1" applyBorder="1" applyAlignment="1">
      <alignment horizontal="center"/>
    </xf>
    <xf numFmtId="0" fontId="47" fillId="0" borderId="67" xfId="5" applyFont="1" applyBorder="1" applyAlignment="1">
      <alignment horizontal="center"/>
    </xf>
    <xf numFmtId="0" fontId="47" fillId="0" borderId="73" xfId="5" applyFont="1" applyBorder="1" applyAlignment="1">
      <alignment horizontal="center"/>
    </xf>
    <xf numFmtId="0" fontId="47" fillId="0" borderId="72" xfId="5" applyFont="1" applyBorder="1" applyAlignment="1">
      <alignment horizontal="center"/>
    </xf>
    <xf numFmtId="0" fontId="10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18" fillId="0" borderId="32" xfId="0" applyFont="1" applyBorder="1" applyAlignment="1">
      <alignment horizontal="center" vertical="center" textRotation="90"/>
    </xf>
    <xf numFmtId="0" fontId="0" fillId="0" borderId="34" xfId="0" applyBorder="1" applyAlignment="1">
      <alignment horizontal="center" vertical="center" textRotation="90"/>
    </xf>
    <xf numFmtId="0" fontId="0" fillId="0" borderId="36" xfId="0" applyBorder="1" applyAlignment="1">
      <alignment horizontal="center" vertical="center" textRotation="90"/>
    </xf>
    <xf numFmtId="0" fontId="17" fillId="12" borderId="16" xfId="0" applyFont="1" applyFill="1" applyBorder="1" applyAlignment="1">
      <alignment horizontal="center" vertical="center"/>
    </xf>
    <xf numFmtId="0" fontId="17" fillId="12" borderId="18" xfId="0" applyFont="1" applyFill="1" applyBorder="1" applyAlignment="1">
      <alignment horizontal="center" vertical="center"/>
    </xf>
    <xf numFmtId="0" fontId="17" fillId="12" borderId="17" xfId="0" applyFont="1" applyFill="1" applyBorder="1" applyAlignment="1">
      <alignment horizontal="center" vertical="center"/>
    </xf>
    <xf numFmtId="0" fontId="18" fillId="0" borderId="38" xfId="0" applyFont="1" applyBorder="1" applyAlignment="1">
      <alignment horizontal="center" vertical="center" textRotation="90" wrapText="1"/>
    </xf>
    <xf numFmtId="0" fontId="18" fillId="0" borderId="39" xfId="0" applyFont="1" applyBorder="1" applyAlignment="1">
      <alignment horizontal="center" vertical="center" textRotation="90" wrapText="1"/>
    </xf>
    <xf numFmtId="0" fontId="18" fillId="0" borderId="40" xfId="0" applyFont="1" applyBorder="1" applyAlignment="1">
      <alignment horizontal="center" vertical="center" textRotation="90" wrapText="1"/>
    </xf>
    <xf numFmtId="0" fontId="18" fillId="0" borderId="20" xfId="0" applyFont="1" applyBorder="1" applyAlignment="1">
      <alignment horizontal="center" vertical="center" textRotation="90"/>
    </xf>
    <xf numFmtId="0" fontId="18" fillId="0" borderId="22" xfId="0" applyFont="1" applyBorder="1" applyAlignment="1">
      <alignment horizontal="center" vertical="center" textRotation="90"/>
    </xf>
    <xf numFmtId="0" fontId="18" fillId="0" borderId="23" xfId="0" applyFont="1" applyBorder="1" applyAlignment="1">
      <alignment horizontal="center" vertical="center" textRotation="90"/>
    </xf>
    <xf numFmtId="0" fontId="0" fillId="0" borderId="22" xfId="0" applyBorder="1" applyAlignment="1">
      <alignment horizontal="center" vertical="center" textRotation="90"/>
    </xf>
    <xf numFmtId="0" fontId="0" fillId="0" borderId="23" xfId="0" applyBorder="1" applyAlignment="1">
      <alignment horizontal="center" vertical="center" textRotation="90"/>
    </xf>
    <xf numFmtId="0" fontId="0" fillId="0" borderId="20" xfId="0" applyBorder="1" applyAlignment="1">
      <alignment horizontal="center" vertical="center" textRotation="90"/>
    </xf>
    <xf numFmtId="0" fontId="33" fillId="7" borderId="5" xfId="5" applyFont="1" applyFill="1" applyBorder="1" applyAlignment="1">
      <alignment horizontal="center" vertical="center"/>
    </xf>
    <xf numFmtId="0" fontId="33" fillId="7" borderId="65" xfId="5" applyFont="1" applyFill="1" applyBorder="1" applyAlignment="1">
      <alignment horizontal="center" vertical="center"/>
    </xf>
    <xf numFmtId="0" fontId="1" fillId="0" borderId="6" xfId="5" applyBorder="1" applyAlignment="1">
      <alignment horizontal="center" vertical="center"/>
    </xf>
    <xf numFmtId="3" fontId="44" fillId="0" borderId="0" xfId="0" applyNumberFormat="1" applyFont="1"/>
  </cellXfs>
  <cellStyles count="6">
    <cellStyle name="Hypertextový odkaz" xfId="3" builtinId="8"/>
    <cellStyle name="Normální" xfId="0" builtinId="0"/>
    <cellStyle name="Normální 2" xfId="4"/>
    <cellStyle name="Normální 3" xfId="5"/>
    <cellStyle name="normální_příloha č. 2 a - Odhad, VNT a vyúčtování" xfId="2"/>
    <cellStyle name="normální_vyúčtování 2007- výkazy nákl.a tržeb z př. činností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vodickova/Desktop/Indexace%202023/MDPO%20-%20Pl&#225;n%202023%20-%20Indexa&#269;n&#237;%20(EE%2010,%20ZP%203,8)%20-%20Varianta%202%20(pln&#225;%20komp.%20energi&#237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mpenzace SMO"/>
      <sheetName val="výchozí model (T + A)"/>
      <sheetName val="výchozí model T"/>
      <sheetName val="výchozí model A"/>
      <sheetName val="km - plán 2023"/>
      <sheetName val="změna výkonu "/>
      <sheetName val="index bazický"/>
      <sheetName val="index mzdy"/>
      <sheetName val="index PHM a energie"/>
      <sheetName val="Provozní aktiva A+T"/>
      <sheetName val="Provozní aktiva ZC"/>
      <sheetName val="Perspektiva odpisů"/>
    </sheetNames>
    <sheetDataSet>
      <sheetData sheetId="0"/>
      <sheetData sheetId="1"/>
      <sheetData sheetId="2">
        <row r="9">
          <cell r="H9">
            <v>13850.952598247377</v>
          </cell>
        </row>
        <row r="10">
          <cell r="H10">
            <v>246.05965482954545</v>
          </cell>
        </row>
        <row r="11">
          <cell r="H11">
            <v>1239.6033091839042</v>
          </cell>
        </row>
        <row r="31">
          <cell r="H31">
            <v>55930.478266265673</v>
          </cell>
        </row>
      </sheetData>
      <sheetData sheetId="3">
        <row r="9">
          <cell r="H9">
            <v>13921.606513078987</v>
          </cell>
        </row>
        <row r="10">
          <cell r="H10">
            <v>1863.9739735982603</v>
          </cell>
        </row>
        <row r="32">
          <cell r="H32">
            <v>62837.915277126638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portal.pohoda.cz/dane-ucetnictvi-mzdy/mzdy-a-prace/cestovni-nahrady-v-roce-2018/" TargetMode="External"/><Relationship Id="rId2" Type="http://schemas.openxmlformats.org/officeDocument/2006/relationships/hyperlink" Target="https://portal.pohoda.cz/dane-ucetnictvi-mzdy/mzdy-a-prace/cestovni-nahrady-v-roce-2022/" TargetMode="External"/><Relationship Id="rId1" Type="http://schemas.openxmlformats.org/officeDocument/2006/relationships/hyperlink" Target="https://www.czso.cz/csu/czso/indexy-cen-prumyslovych-vyrobcu-cervenec-2022" TargetMode="Externa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s://www.czso.cz/csu/czso/indexy-cen-prumyslovych-vyrobcu-cervenec-202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zso.cz/csu/czso/mira_inflac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czso.cz/csu/czso/cri/prumerne-mzdy-2-ctvrtleti-2022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2:R38"/>
  <sheetViews>
    <sheetView tabSelected="1" workbookViewId="0">
      <selection activeCell="R29" sqref="R29"/>
    </sheetView>
  </sheetViews>
  <sheetFormatPr defaultRowHeight="14.25"/>
  <cols>
    <col min="2" max="2" width="20.75" customWidth="1"/>
    <col min="3" max="3" width="10.75" customWidth="1"/>
    <col min="4" max="5" width="7.25" customWidth="1"/>
    <col min="6" max="6" width="25.5" customWidth="1"/>
    <col min="7" max="9" width="9.75" customWidth="1"/>
    <col min="15" max="15" width="9" customWidth="1"/>
  </cols>
  <sheetData>
    <row r="2" spans="2:7" ht="15" thickBot="1">
      <c r="B2" t="s">
        <v>252</v>
      </c>
      <c r="F2" t="s">
        <v>253</v>
      </c>
    </row>
    <row r="3" spans="2:7" ht="15.75" thickBot="1">
      <c r="B3" s="417" t="s">
        <v>86</v>
      </c>
      <c r="C3" s="418"/>
      <c r="F3" s="417" t="s">
        <v>112</v>
      </c>
      <c r="G3" s="418"/>
    </row>
    <row r="4" spans="2:7">
      <c r="B4" s="15" t="s">
        <v>81</v>
      </c>
      <c r="C4" s="16">
        <f>'výchozí model A'!F25-'výchozí model A'!F29</f>
        <v>63104.376395932515</v>
      </c>
      <c r="F4" s="15" t="s">
        <v>81</v>
      </c>
      <c r="G4" s="16">
        <f>'výchozí model A'!H25-'výchozí model A'!H29</f>
        <v>62377.916191364362</v>
      </c>
    </row>
    <row r="5" spans="2:7" ht="15" thickBot="1">
      <c r="B5" s="17" t="s">
        <v>82</v>
      </c>
      <c r="C5" s="18">
        <f>'výchozí model T'!F24-'výchozí model T'!F28</f>
        <v>59090.993226821578</v>
      </c>
      <c r="F5" s="17" t="s">
        <v>82</v>
      </c>
      <c r="G5" s="18">
        <f>'výchozí model T'!H24-'výchozí model T'!H28</f>
        <v>54676.809765427948</v>
      </c>
    </row>
    <row r="6" spans="2:7" ht="15.75" thickBot="1">
      <c r="B6" s="23" t="s">
        <v>84</v>
      </c>
      <c r="C6" s="21">
        <f>SUM(C4:C5)</f>
        <v>122195.36962275409</v>
      </c>
      <c r="F6" s="23" t="s">
        <v>84</v>
      </c>
      <c r="G6" s="351">
        <f>SUM(G4:G5)</f>
        <v>117054.7259567923</v>
      </c>
    </row>
    <row r="7" spans="2:7" ht="15" thickBot="1">
      <c r="B7" s="19" t="s">
        <v>83</v>
      </c>
      <c r="C7" s="20">
        <f>'výchozí model (T + A)'!G31</f>
        <v>1713.6675865999987</v>
      </c>
      <c r="F7" s="19" t="s">
        <v>83</v>
      </c>
      <c r="G7" s="20">
        <f>'výchozí model (T + A)'!K31</f>
        <v>1713.6675865999987</v>
      </c>
    </row>
    <row r="8" spans="2:7" ht="15.75" thickBot="1">
      <c r="B8" s="23" t="s">
        <v>85</v>
      </c>
      <c r="C8" s="22">
        <f>SUM(C6:C7)</f>
        <v>123909.03720935409</v>
      </c>
      <c r="F8" s="23" t="s">
        <v>85</v>
      </c>
      <c r="G8" s="355">
        <f>SUM(G6:G7)</f>
        <v>118768.3935433923</v>
      </c>
    </row>
    <row r="11" spans="2:7">
      <c r="B11" t="s">
        <v>956</v>
      </c>
    </row>
    <row r="13" spans="2:7" s="300" customFormat="1">
      <c r="B13" s="300" t="s">
        <v>965</v>
      </c>
    </row>
    <row r="14" spans="2:7" s="300" customFormat="1">
      <c r="B14" s="300" t="s">
        <v>957</v>
      </c>
    </row>
    <row r="15" spans="2:7" s="300" customFormat="1">
      <c r="B15" s="300" t="s">
        <v>959</v>
      </c>
    </row>
    <row r="16" spans="2:7" s="300" customFormat="1">
      <c r="B16" s="300" t="s">
        <v>958</v>
      </c>
    </row>
    <row r="17" spans="2:18" s="300" customFormat="1">
      <c r="B17" s="300" t="s">
        <v>986</v>
      </c>
    </row>
    <row r="18" spans="2:18" s="300" customFormat="1">
      <c r="B18" s="300" t="s">
        <v>987</v>
      </c>
    </row>
    <row r="19" spans="2:18" s="300" customFormat="1"/>
    <row r="20" spans="2:18" s="300" customFormat="1">
      <c r="B20" s="300" t="s">
        <v>961</v>
      </c>
      <c r="G20" s="24">
        <f>'Energie - plán 2023'!G11/1000</f>
        <v>44397.03</v>
      </c>
    </row>
    <row r="21" spans="2:18" s="300" customFormat="1">
      <c r="B21" s="300" t="s">
        <v>960</v>
      </c>
      <c r="G21" s="24">
        <f>'výchozí model (T + A)'!K9+'výchozí model (T + A)'!K10</f>
        <v>31122.196048938073</v>
      </c>
    </row>
    <row r="22" spans="2:18" s="300" customFormat="1">
      <c r="B22" s="300" t="s">
        <v>962</v>
      </c>
      <c r="G22" s="24">
        <f>G20-G21</f>
        <v>13274.833951061926</v>
      </c>
    </row>
    <row r="23" spans="2:18" s="300" customFormat="1">
      <c r="B23" s="300" t="s">
        <v>963</v>
      </c>
      <c r="G23" s="352">
        <f>G22/2</f>
        <v>6637.4169755309631</v>
      </c>
    </row>
    <row r="24" spans="2:18" s="300" customFormat="1">
      <c r="B24" s="300" t="s">
        <v>964</v>
      </c>
      <c r="G24" s="352">
        <f>G22/2</f>
        <v>6637.4169755309631</v>
      </c>
    </row>
    <row r="25" spans="2:18" s="300" customFormat="1" ht="15" thickBot="1"/>
    <row r="26" spans="2:18" s="300" customFormat="1" ht="15.75" thickBot="1">
      <c r="B26" s="350" t="s">
        <v>979</v>
      </c>
      <c r="G26" s="410">
        <f>G8+G23</f>
        <v>125405.81051892327</v>
      </c>
      <c r="H26" s="24" t="s">
        <v>988</v>
      </c>
    </row>
    <row r="27" spans="2:18" s="300" customFormat="1" ht="15.75" thickBot="1">
      <c r="B27" s="350" t="s">
        <v>980</v>
      </c>
      <c r="G27" s="410">
        <f>G8+G23+G24</f>
        <v>132043.22749445424</v>
      </c>
    </row>
    <row r="28" spans="2:18" s="300" customFormat="1"/>
    <row r="29" spans="2:18" ht="15">
      <c r="B29" s="322" t="s">
        <v>989</v>
      </c>
      <c r="P29" s="24"/>
      <c r="Q29" s="24"/>
      <c r="R29" s="505">
        <f>SUM(G21,G23)</f>
        <v>37759.613024469036</v>
      </c>
    </row>
    <row r="30" spans="2:18" hidden="1">
      <c r="F30" s="300"/>
      <c r="G30" s="300" t="s">
        <v>114</v>
      </c>
      <c r="H30" s="300" t="s">
        <v>115</v>
      </c>
      <c r="I30" s="300" t="s">
        <v>159</v>
      </c>
    </row>
    <row r="31" spans="2:18" hidden="1">
      <c r="F31" s="300"/>
      <c r="G31" s="24">
        <f>'[1]výchozí model T'!H9+'[1]výchozí model T'!H10+'[1]výchozí model T'!H11</f>
        <v>15336.615562260826</v>
      </c>
      <c r="H31" s="24">
        <f>'[1]výchozí model A'!H9+'[1]výchozí model A'!H10</f>
        <v>15785.580486677247</v>
      </c>
      <c r="I31" s="24">
        <f>SUM(G31:H31)</f>
        <v>31122.196048938073</v>
      </c>
    </row>
    <row r="32" spans="2:18" hidden="1">
      <c r="F32" s="300" t="s">
        <v>966</v>
      </c>
      <c r="G32" s="356">
        <f>G31/I31</f>
        <v>0.49278706226722485</v>
      </c>
      <c r="H32" s="356">
        <f>H31/I31</f>
        <v>0.50721293773277509</v>
      </c>
      <c r="I32" s="357">
        <f>SUM(G32:H32)</f>
        <v>1</v>
      </c>
    </row>
    <row r="33" spans="6:9" hidden="1">
      <c r="F33" s="300"/>
      <c r="G33" s="300"/>
      <c r="H33" s="300"/>
      <c r="I33" s="300"/>
    </row>
    <row r="34" spans="6:9" hidden="1">
      <c r="F34" s="300"/>
      <c r="G34" s="300" t="s">
        <v>114</v>
      </c>
      <c r="H34" s="300" t="s">
        <v>115</v>
      </c>
      <c r="I34" s="300" t="s">
        <v>159</v>
      </c>
    </row>
    <row r="35" spans="6:9" hidden="1">
      <c r="F35" s="300"/>
      <c r="G35" s="24">
        <f>'[1]výchozí model T'!H31</f>
        <v>55930.478266265673</v>
      </c>
      <c r="H35" s="24">
        <f>'[1]výchozí model A'!H32</f>
        <v>62837.915277126638</v>
      </c>
      <c r="I35" s="24">
        <f>SUM(G35:H35)</f>
        <v>118768.3935433923</v>
      </c>
    </row>
    <row r="36" spans="6:9" hidden="1">
      <c r="F36" s="300" t="s">
        <v>967</v>
      </c>
      <c r="G36" s="356">
        <f>G35/I35</f>
        <v>0.47092055889289558</v>
      </c>
      <c r="H36" s="356">
        <f>H35/I35</f>
        <v>0.52907944110710448</v>
      </c>
      <c r="I36" s="357">
        <f>SUM(G36:H36)</f>
        <v>1</v>
      </c>
    </row>
    <row r="37" spans="6:9" hidden="1">
      <c r="F37" s="300"/>
      <c r="G37" s="300"/>
      <c r="H37" s="300"/>
      <c r="I37" s="300"/>
    </row>
    <row r="38" spans="6:9" hidden="1"/>
  </sheetData>
  <mergeCells count="2">
    <mergeCell ref="B3:C3"/>
    <mergeCell ref="F3:G3"/>
  </mergeCells>
  <phoneticPr fontId="28" type="noConversion"/>
  <pageMargins left="0.70866141732283472" right="0.70866141732283472" top="0.78740157480314965" bottom="0.78740157480314965" header="0.31496062992125984" footer="0.31496062992125984"/>
  <pageSetup paperSize="9" scale="6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31"/>
  <sheetViews>
    <sheetView topLeftCell="A13" workbookViewId="0">
      <selection activeCell="K37" sqref="K37"/>
    </sheetView>
  </sheetViews>
  <sheetFormatPr defaultRowHeight="14.25"/>
  <cols>
    <col min="2" max="2" width="10.125" customWidth="1"/>
    <col min="3" max="3" width="11" bestFit="1" customWidth="1"/>
    <col min="5" max="5" width="9.625" bestFit="1" customWidth="1"/>
  </cols>
  <sheetData>
    <row r="1" spans="1:12" ht="15">
      <c r="A1" s="2" t="s">
        <v>60</v>
      </c>
    </row>
    <row r="2" spans="1:12">
      <c r="A2" t="s">
        <v>59</v>
      </c>
      <c r="B2" s="1" t="s">
        <v>210</v>
      </c>
    </row>
    <row r="3" spans="1:12">
      <c r="B3" s="1" t="s">
        <v>58</v>
      </c>
    </row>
    <row r="5" spans="1:12">
      <c r="A5" t="s">
        <v>211</v>
      </c>
      <c r="B5" t="s">
        <v>62</v>
      </c>
      <c r="C5">
        <v>36.1</v>
      </c>
    </row>
    <row r="6" spans="1:12">
      <c r="A6" t="s">
        <v>61</v>
      </c>
      <c r="B6" t="s">
        <v>63</v>
      </c>
      <c r="C6">
        <v>29.8</v>
      </c>
    </row>
    <row r="9" spans="1:12" ht="15">
      <c r="A9" s="2" t="s">
        <v>64</v>
      </c>
    </row>
    <row r="10" spans="1:12">
      <c r="A10" s="4" t="s">
        <v>67</v>
      </c>
      <c r="B10" s="1" t="s">
        <v>212</v>
      </c>
    </row>
    <row r="11" spans="1:12">
      <c r="A11" s="4"/>
    </row>
    <row r="12" spans="1:12" ht="15">
      <c r="A12" s="2"/>
    </row>
    <row r="13" spans="1:12">
      <c r="A13" t="s">
        <v>213</v>
      </c>
      <c r="B13" t="s">
        <v>65</v>
      </c>
      <c r="C13">
        <v>1623.15</v>
      </c>
    </row>
    <row r="14" spans="1:12">
      <c r="A14" t="s">
        <v>49</v>
      </c>
      <c r="B14" t="s">
        <v>66</v>
      </c>
      <c r="C14" s="7">
        <v>659.2</v>
      </c>
    </row>
    <row r="15" spans="1:12" ht="15">
      <c r="J15" s="2"/>
    </row>
    <row r="16" spans="1:12">
      <c r="A16" t="s">
        <v>69</v>
      </c>
      <c r="B16" t="s">
        <v>68</v>
      </c>
      <c r="C16">
        <v>1.3599999999999999E-2</v>
      </c>
      <c r="D16" t="s">
        <v>70</v>
      </c>
      <c r="L16" s="11"/>
    </row>
    <row r="17" spans="1:12">
      <c r="A17" t="s">
        <v>69</v>
      </c>
      <c r="B17" t="s">
        <v>71</v>
      </c>
      <c r="C17">
        <v>1.47</v>
      </c>
      <c r="L17" s="7"/>
    </row>
    <row r="20" spans="1:12" ht="15.75">
      <c r="A20" s="2" t="s">
        <v>75</v>
      </c>
      <c r="B20" s="485" t="s">
        <v>72</v>
      </c>
      <c r="C20" s="8" t="s">
        <v>73</v>
      </c>
      <c r="E20" s="10">
        <f>C5+C16*C17*C13</f>
        <v>68.5500148</v>
      </c>
      <c r="F20" s="486">
        <f>E20/E21</f>
        <v>1.5949754807066596</v>
      </c>
      <c r="J20" s="2"/>
      <c r="L20" s="10"/>
    </row>
    <row r="21" spans="1:12" ht="15.75">
      <c r="B21" s="485"/>
      <c r="C21" s="9" t="s">
        <v>74</v>
      </c>
      <c r="E21" s="10">
        <f>C6+C16*C17*C14</f>
        <v>42.978726399999999</v>
      </c>
      <c r="F21" s="486"/>
      <c r="L21" s="10"/>
    </row>
    <row r="22" spans="1:12" ht="15">
      <c r="A22" s="2" t="s">
        <v>75</v>
      </c>
      <c r="F22" s="14">
        <f>F20</f>
        <v>1.5949754807066596</v>
      </c>
      <c r="J22" s="2"/>
    </row>
    <row r="25" spans="1:12" ht="15">
      <c r="A25" s="2" t="s">
        <v>77</v>
      </c>
    </row>
    <row r="26" spans="1:12">
      <c r="A26" t="s">
        <v>76</v>
      </c>
      <c r="B26" s="1" t="s">
        <v>212</v>
      </c>
    </row>
    <row r="27" spans="1:12">
      <c r="A27" s="4"/>
    </row>
    <row r="29" spans="1:12">
      <c r="A29" t="s">
        <v>213</v>
      </c>
      <c r="B29">
        <v>3932.96</v>
      </c>
    </row>
    <row r="30" spans="1:12">
      <c r="A30" t="s">
        <v>49</v>
      </c>
      <c r="B30">
        <v>1606.67</v>
      </c>
    </row>
    <row r="31" spans="1:12" ht="15">
      <c r="A31" s="2" t="s">
        <v>52</v>
      </c>
      <c r="B31" s="12">
        <f>B29/B30</f>
        <v>2.4478953363167295</v>
      </c>
    </row>
  </sheetData>
  <mergeCells count="2">
    <mergeCell ref="B20:B21"/>
    <mergeCell ref="F20:F21"/>
  </mergeCells>
  <hyperlinks>
    <hyperlink ref="B10" r:id="rId1"/>
    <hyperlink ref="B2" r:id="rId2"/>
    <hyperlink ref="B3" r:id="rId3"/>
    <hyperlink ref="B26" r:id="rId4"/>
  </hyperlinks>
  <pageMargins left="0.7" right="0.7" top="0.78740157499999996" bottom="0.78740157499999996" header="0.3" footer="0.3"/>
  <pageSetup paperSize="9" orientation="portrait" r:id="rId5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</sheetPr>
  <dimension ref="B1:I76"/>
  <sheetViews>
    <sheetView topLeftCell="A59" zoomScale="70" zoomScaleNormal="70" workbookViewId="0">
      <selection activeCell="D75" sqref="D75:E75"/>
    </sheetView>
  </sheetViews>
  <sheetFormatPr defaultRowHeight="14.25"/>
  <cols>
    <col min="2" max="2" width="7.25" customWidth="1"/>
    <col min="3" max="3" width="29.125" customWidth="1"/>
    <col min="4" max="6" width="15.125" customWidth="1"/>
    <col min="7" max="7" width="15.125" style="67" customWidth="1"/>
    <col min="8" max="8" width="7.25" bestFit="1" customWidth="1"/>
    <col min="12" max="12" width="7.25" bestFit="1" customWidth="1"/>
    <col min="258" max="258" width="7.25" customWidth="1"/>
    <col min="259" max="259" width="12.125" bestFit="1" customWidth="1"/>
    <col min="260" max="260" width="9" bestFit="1" customWidth="1"/>
    <col min="261" max="261" width="7.25" customWidth="1"/>
    <col min="262" max="262" width="7.875" bestFit="1" customWidth="1"/>
    <col min="263" max="263" width="10.25" bestFit="1" customWidth="1"/>
    <col min="264" max="264" width="7.25" bestFit="1" customWidth="1"/>
    <col min="268" max="268" width="7.25" bestFit="1" customWidth="1"/>
    <col min="514" max="514" width="7.25" customWidth="1"/>
    <col min="515" max="515" width="12.125" bestFit="1" customWidth="1"/>
    <col min="516" max="516" width="9" bestFit="1" customWidth="1"/>
    <col min="517" max="517" width="7.25" customWidth="1"/>
    <col min="518" max="518" width="7.875" bestFit="1" customWidth="1"/>
    <col min="519" max="519" width="10.25" bestFit="1" customWidth="1"/>
    <col min="520" max="520" width="7.25" bestFit="1" customWidth="1"/>
    <col min="524" max="524" width="7.25" bestFit="1" customWidth="1"/>
    <col min="770" max="770" width="7.25" customWidth="1"/>
    <col min="771" max="771" width="12.125" bestFit="1" customWidth="1"/>
    <col min="772" max="772" width="9" bestFit="1" customWidth="1"/>
    <col min="773" max="773" width="7.25" customWidth="1"/>
    <col min="774" max="774" width="7.875" bestFit="1" customWidth="1"/>
    <col min="775" max="775" width="10.25" bestFit="1" customWidth="1"/>
    <col min="776" max="776" width="7.25" bestFit="1" customWidth="1"/>
    <col min="780" max="780" width="7.25" bestFit="1" customWidth="1"/>
    <col min="1026" max="1026" width="7.25" customWidth="1"/>
    <col min="1027" max="1027" width="12.125" bestFit="1" customWidth="1"/>
    <col min="1028" max="1028" width="9" bestFit="1" customWidth="1"/>
    <col min="1029" max="1029" width="7.25" customWidth="1"/>
    <col min="1030" max="1030" width="7.875" bestFit="1" customWidth="1"/>
    <col min="1031" max="1031" width="10.25" bestFit="1" customWidth="1"/>
    <col min="1032" max="1032" width="7.25" bestFit="1" customWidth="1"/>
    <col min="1036" max="1036" width="7.25" bestFit="1" customWidth="1"/>
    <col min="1282" max="1282" width="7.25" customWidth="1"/>
    <col min="1283" max="1283" width="12.125" bestFit="1" customWidth="1"/>
    <col min="1284" max="1284" width="9" bestFit="1" customWidth="1"/>
    <col min="1285" max="1285" width="7.25" customWidth="1"/>
    <col min="1286" max="1286" width="7.875" bestFit="1" customWidth="1"/>
    <col min="1287" max="1287" width="10.25" bestFit="1" customWidth="1"/>
    <col min="1288" max="1288" width="7.25" bestFit="1" customWidth="1"/>
    <col min="1292" max="1292" width="7.25" bestFit="1" customWidth="1"/>
    <col min="1538" max="1538" width="7.25" customWidth="1"/>
    <col min="1539" max="1539" width="12.125" bestFit="1" customWidth="1"/>
    <col min="1540" max="1540" width="9" bestFit="1" customWidth="1"/>
    <col min="1541" max="1541" width="7.25" customWidth="1"/>
    <col min="1542" max="1542" width="7.875" bestFit="1" customWidth="1"/>
    <col min="1543" max="1543" width="10.25" bestFit="1" customWidth="1"/>
    <col min="1544" max="1544" width="7.25" bestFit="1" customWidth="1"/>
    <col min="1548" max="1548" width="7.25" bestFit="1" customWidth="1"/>
    <col min="1794" max="1794" width="7.25" customWidth="1"/>
    <col min="1795" max="1795" width="12.125" bestFit="1" customWidth="1"/>
    <col min="1796" max="1796" width="9" bestFit="1" customWidth="1"/>
    <col min="1797" max="1797" width="7.25" customWidth="1"/>
    <col min="1798" max="1798" width="7.875" bestFit="1" customWidth="1"/>
    <col min="1799" max="1799" width="10.25" bestFit="1" customWidth="1"/>
    <col min="1800" max="1800" width="7.25" bestFit="1" customWidth="1"/>
    <col min="1804" max="1804" width="7.25" bestFit="1" customWidth="1"/>
    <col min="2050" max="2050" width="7.25" customWidth="1"/>
    <col min="2051" max="2051" width="12.125" bestFit="1" customWidth="1"/>
    <col min="2052" max="2052" width="9" bestFit="1" customWidth="1"/>
    <col min="2053" max="2053" width="7.25" customWidth="1"/>
    <col min="2054" max="2054" width="7.875" bestFit="1" customWidth="1"/>
    <col min="2055" max="2055" width="10.25" bestFit="1" customWidth="1"/>
    <col min="2056" max="2056" width="7.25" bestFit="1" customWidth="1"/>
    <col min="2060" max="2060" width="7.25" bestFit="1" customWidth="1"/>
    <col min="2306" max="2306" width="7.25" customWidth="1"/>
    <col min="2307" max="2307" width="12.125" bestFit="1" customWidth="1"/>
    <col min="2308" max="2308" width="9" bestFit="1" customWidth="1"/>
    <col min="2309" max="2309" width="7.25" customWidth="1"/>
    <col min="2310" max="2310" width="7.875" bestFit="1" customWidth="1"/>
    <col min="2311" max="2311" width="10.25" bestFit="1" customWidth="1"/>
    <col min="2312" max="2312" width="7.25" bestFit="1" customWidth="1"/>
    <col min="2316" max="2316" width="7.25" bestFit="1" customWidth="1"/>
    <col min="2562" max="2562" width="7.25" customWidth="1"/>
    <col min="2563" max="2563" width="12.125" bestFit="1" customWidth="1"/>
    <col min="2564" max="2564" width="9" bestFit="1" customWidth="1"/>
    <col min="2565" max="2565" width="7.25" customWidth="1"/>
    <col min="2566" max="2566" width="7.875" bestFit="1" customWidth="1"/>
    <col min="2567" max="2567" width="10.25" bestFit="1" customWidth="1"/>
    <col min="2568" max="2568" width="7.25" bestFit="1" customWidth="1"/>
    <col min="2572" max="2572" width="7.25" bestFit="1" customWidth="1"/>
    <col min="2818" max="2818" width="7.25" customWidth="1"/>
    <col min="2819" max="2819" width="12.125" bestFit="1" customWidth="1"/>
    <col min="2820" max="2820" width="9" bestFit="1" customWidth="1"/>
    <col min="2821" max="2821" width="7.25" customWidth="1"/>
    <col min="2822" max="2822" width="7.875" bestFit="1" customWidth="1"/>
    <col min="2823" max="2823" width="10.25" bestFit="1" customWidth="1"/>
    <col min="2824" max="2824" width="7.25" bestFit="1" customWidth="1"/>
    <col min="2828" max="2828" width="7.25" bestFit="1" customWidth="1"/>
    <col min="3074" max="3074" width="7.25" customWidth="1"/>
    <col min="3075" max="3075" width="12.125" bestFit="1" customWidth="1"/>
    <col min="3076" max="3076" width="9" bestFit="1" customWidth="1"/>
    <col min="3077" max="3077" width="7.25" customWidth="1"/>
    <col min="3078" max="3078" width="7.875" bestFit="1" customWidth="1"/>
    <col min="3079" max="3079" width="10.25" bestFit="1" customWidth="1"/>
    <col min="3080" max="3080" width="7.25" bestFit="1" customWidth="1"/>
    <col min="3084" max="3084" width="7.25" bestFit="1" customWidth="1"/>
    <col min="3330" max="3330" width="7.25" customWidth="1"/>
    <col min="3331" max="3331" width="12.125" bestFit="1" customWidth="1"/>
    <col min="3332" max="3332" width="9" bestFit="1" customWidth="1"/>
    <col min="3333" max="3333" width="7.25" customWidth="1"/>
    <col min="3334" max="3334" width="7.875" bestFit="1" customWidth="1"/>
    <col min="3335" max="3335" width="10.25" bestFit="1" customWidth="1"/>
    <col min="3336" max="3336" width="7.25" bestFit="1" customWidth="1"/>
    <col min="3340" max="3340" width="7.25" bestFit="1" customWidth="1"/>
    <col min="3586" max="3586" width="7.25" customWidth="1"/>
    <col min="3587" max="3587" width="12.125" bestFit="1" customWidth="1"/>
    <col min="3588" max="3588" width="9" bestFit="1" customWidth="1"/>
    <col min="3589" max="3589" width="7.25" customWidth="1"/>
    <col min="3590" max="3590" width="7.875" bestFit="1" customWidth="1"/>
    <col min="3591" max="3591" width="10.25" bestFit="1" customWidth="1"/>
    <col min="3592" max="3592" width="7.25" bestFit="1" customWidth="1"/>
    <col min="3596" max="3596" width="7.25" bestFit="1" customWidth="1"/>
    <col min="3842" max="3842" width="7.25" customWidth="1"/>
    <col min="3843" max="3843" width="12.125" bestFit="1" customWidth="1"/>
    <col min="3844" max="3844" width="9" bestFit="1" customWidth="1"/>
    <col min="3845" max="3845" width="7.25" customWidth="1"/>
    <col min="3846" max="3846" width="7.875" bestFit="1" customWidth="1"/>
    <col min="3847" max="3847" width="10.25" bestFit="1" customWidth="1"/>
    <col min="3848" max="3848" width="7.25" bestFit="1" customWidth="1"/>
    <col min="3852" max="3852" width="7.25" bestFit="1" customWidth="1"/>
    <col min="4098" max="4098" width="7.25" customWidth="1"/>
    <col min="4099" max="4099" width="12.125" bestFit="1" customWidth="1"/>
    <col min="4100" max="4100" width="9" bestFit="1" customWidth="1"/>
    <col min="4101" max="4101" width="7.25" customWidth="1"/>
    <col min="4102" max="4102" width="7.875" bestFit="1" customWidth="1"/>
    <col min="4103" max="4103" width="10.25" bestFit="1" customWidth="1"/>
    <col min="4104" max="4104" width="7.25" bestFit="1" customWidth="1"/>
    <col min="4108" max="4108" width="7.25" bestFit="1" customWidth="1"/>
    <col min="4354" max="4354" width="7.25" customWidth="1"/>
    <col min="4355" max="4355" width="12.125" bestFit="1" customWidth="1"/>
    <col min="4356" max="4356" width="9" bestFit="1" customWidth="1"/>
    <col min="4357" max="4357" width="7.25" customWidth="1"/>
    <col min="4358" max="4358" width="7.875" bestFit="1" customWidth="1"/>
    <col min="4359" max="4359" width="10.25" bestFit="1" customWidth="1"/>
    <col min="4360" max="4360" width="7.25" bestFit="1" customWidth="1"/>
    <col min="4364" max="4364" width="7.25" bestFit="1" customWidth="1"/>
    <col min="4610" max="4610" width="7.25" customWidth="1"/>
    <col min="4611" max="4611" width="12.125" bestFit="1" customWidth="1"/>
    <col min="4612" max="4612" width="9" bestFit="1" customWidth="1"/>
    <col min="4613" max="4613" width="7.25" customWidth="1"/>
    <col min="4614" max="4614" width="7.875" bestFit="1" customWidth="1"/>
    <col min="4615" max="4615" width="10.25" bestFit="1" customWidth="1"/>
    <col min="4616" max="4616" width="7.25" bestFit="1" customWidth="1"/>
    <col min="4620" max="4620" width="7.25" bestFit="1" customWidth="1"/>
    <col min="4866" max="4866" width="7.25" customWidth="1"/>
    <col min="4867" max="4867" width="12.125" bestFit="1" customWidth="1"/>
    <col min="4868" max="4868" width="9" bestFit="1" customWidth="1"/>
    <col min="4869" max="4869" width="7.25" customWidth="1"/>
    <col min="4870" max="4870" width="7.875" bestFit="1" customWidth="1"/>
    <col min="4871" max="4871" width="10.25" bestFit="1" customWidth="1"/>
    <col min="4872" max="4872" width="7.25" bestFit="1" customWidth="1"/>
    <col min="4876" max="4876" width="7.25" bestFit="1" customWidth="1"/>
    <col min="5122" max="5122" width="7.25" customWidth="1"/>
    <col min="5123" max="5123" width="12.125" bestFit="1" customWidth="1"/>
    <col min="5124" max="5124" width="9" bestFit="1" customWidth="1"/>
    <col min="5125" max="5125" width="7.25" customWidth="1"/>
    <col min="5126" max="5126" width="7.875" bestFit="1" customWidth="1"/>
    <col min="5127" max="5127" width="10.25" bestFit="1" customWidth="1"/>
    <col min="5128" max="5128" width="7.25" bestFit="1" customWidth="1"/>
    <col min="5132" max="5132" width="7.25" bestFit="1" customWidth="1"/>
    <col min="5378" max="5378" width="7.25" customWidth="1"/>
    <col min="5379" max="5379" width="12.125" bestFit="1" customWidth="1"/>
    <col min="5380" max="5380" width="9" bestFit="1" customWidth="1"/>
    <col min="5381" max="5381" width="7.25" customWidth="1"/>
    <col min="5382" max="5382" width="7.875" bestFit="1" customWidth="1"/>
    <col min="5383" max="5383" width="10.25" bestFit="1" customWidth="1"/>
    <col min="5384" max="5384" width="7.25" bestFit="1" customWidth="1"/>
    <col min="5388" max="5388" width="7.25" bestFit="1" customWidth="1"/>
    <col min="5634" max="5634" width="7.25" customWidth="1"/>
    <col min="5635" max="5635" width="12.125" bestFit="1" customWidth="1"/>
    <col min="5636" max="5636" width="9" bestFit="1" customWidth="1"/>
    <col min="5637" max="5637" width="7.25" customWidth="1"/>
    <col min="5638" max="5638" width="7.875" bestFit="1" customWidth="1"/>
    <col min="5639" max="5639" width="10.25" bestFit="1" customWidth="1"/>
    <col min="5640" max="5640" width="7.25" bestFit="1" customWidth="1"/>
    <col min="5644" max="5644" width="7.25" bestFit="1" customWidth="1"/>
    <col min="5890" max="5890" width="7.25" customWidth="1"/>
    <col min="5891" max="5891" width="12.125" bestFit="1" customWidth="1"/>
    <col min="5892" max="5892" width="9" bestFit="1" customWidth="1"/>
    <col min="5893" max="5893" width="7.25" customWidth="1"/>
    <col min="5894" max="5894" width="7.875" bestFit="1" customWidth="1"/>
    <col min="5895" max="5895" width="10.25" bestFit="1" customWidth="1"/>
    <col min="5896" max="5896" width="7.25" bestFit="1" customWidth="1"/>
    <col min="5900" max="5900" width="7.25" bestFit="1" customWidth="1"/>
    <col min="6146" max="6146" width="7.25" customWidth="1"/>
    <col min="6147" max="6147" width="12.125" bestFit="1" customWidth="1"/>
    <col min="6148" max="6148" width="9" bestFit="1" customWidth="1"/>
    <col min="6149" max="6149" width="7.25" customWidth="1"/>
    <col min="6150" max="6150" width="7.875" bestFit="1" customWidth="1"/>
    <col min="6151" max="6151" width="10.25" bestFit="1" customWidth="1"/>
    <col min="6152" max="6152" width="7.25" bestFit="1" customWidth="1"/>
    <col min="6156" max="6156" width="7.25" bestFit="1" customWidth="1"/>
    <col min="6402" max="6402" width="7.25" customWidth="1"/>
    <col min="6403" max="6403" width="12.125" bestFit="1" customWidth="1"/>
    <col min="6404" max="6404" width="9" bestFit="1" customWidth="1"/>
    <col min="6405" max="6405" width="7.25" customWidth="1"/>
    <col min="6406" max="6406" width="7.875" bestFit="1" customWidth="1"/>
    <col min="6407" max="6407" width="10.25" bestFit="1" customWidth="1"/>
    <col min="6408" max="6408" width="7.25" bestFit="1" customWidth="1"/>
    <col min="6412" max="6412" width="7.25" bestFit="1" customWidth="1"/>
    <col min="6658" max="6658" width="7.25" customWidth="1"/>
    <col min="6659" max="6659" width="12.125" bestFit="1" customWidth="1"/>
    <col min="6660" max="6660" width="9" bestFit="1" customWidth="1"/>
    <col min="6661" max="6661" width="7.25" customWidth="1"/>
    <col min="6662" max="6662" width="7.875" bestFit="1" customWidth="1"/>
    <col min="6663" max="6663" width="10.25" bestFit="1" customWidth="1"/>
    <col min="6664" max="6664" width="7.25" bestFit="1" customWidth="1"/>
    <col min="6668" max="6668" width="7.25" bestFit="1" customWidth="1"/>
    <col min="6914" max="6914" width="7.25" customWidth="1"/>
    <col min="6915" max="6915" width="12.125" bestFit="1" customWidth="1"/>
    <col min="6916" max="6916" width="9" bestFit="1" customWidth="1"/>
    <col min="6917" max="6917" width="7.25" customWidth="1"/>
    <col min="6918" max="6918" width="7.875" bestFit="1" customWidth="1"/>
    <col min="6919" max="6919" width="10.25" bestFit="1" customWidth="1"/>
    <col min="6920" max="6920" width="7.25" bestFit="1" customWidth="1"/>
    <col min="6924" max="6924" width="7.25" bestFit="1" customWidth="1"/>
    <col min="7170" max="7170" width="7.25" customWidth="1"/>
    <col min="7171" max="7171" width="12.125" bestFit="1" customWidth="1"/>
    <col min="7172" max="7172" width="9" bestFit="1" customWidth="1"/>
    <col min="7173" max="7173" width="7.25" customWidth="1"/>
    <col min="7174" max="7174" width="7.875" bestFit="1" customWidth="1"/>
    <col min="7175" max="7175" width="10.25" bestFit="1" customWidth="1"/>
    <col min="7176" max="7176" width="7.25" bestFit="1" customWidth="1"/>
    <col min="7180" max="7180" width="7.25" bestFit="1" customWidth="1"/>
    <col min="7426" max="7426" width="7.25" customWidth="1"/>
    <col min="7427" max="7427" width="12.125" bestFit="1" customWidth="1"/>
    <col min="7428" max="7428" width="9" bestFit="1" customWidth="1"/>
    <col min="7429" max="7429" width="7.25" customWidth="1"/>
    <col min="7430" max="7430" width="7.875" bestFit="1" customWidth="1"/>
    <col min="7431" max="7431" width="10.25" bestFit="1" customWidth="1"/>
    <col min="7432" max="7432" width="7.25" bestFit="1" customWidth="1"/>
    <col min="7436" max="7436" width="7.25" bestFit="1" customWidth="1"/>
    <col min="7682" max="7682" width="7.25" customWidth="1"/>
    <col min="7683" max="7683" width="12.125" bestFit="1" customWidth="1"/>
    <col min="7684" max="7684" width="9" bestFit="1" customWidth="1"/>
    <col min="7685" max="7685" width="7.25" customWidth="1"/>
    <col min="7686" max="7686" width="7.875" bestFit="1" customWidth="1"/>
    <col min="7687" max="7687" width="10.25" bestFit="1" customWidth="1"/>
    <col min="7688" max="7688" width="7.25" bestFit="1" customWidth="1"/>
    <col min="7692" max="7692" width="7.25" bestFit="1" customWidth="1"/>
    <col min="7938" max="7938" width="7.25" customWidth="1"/>
    <col min="7939" max="7939" width="12.125" bestFit="1" customWidth="1"/>
    <col min="7940" max="7940" width="9" bestFit="1" customWidth="1"/>
    <col min="7941" max="7941" width="7.25" customWidth="1"/>
    <col min="7942" max="7942" width="7.875" bestFit="1" customWidth="1"/>
    <col min="7943" max="7943" width="10.25" bestFit="1" customWidth="1"/>
    <col min="7944" max="7944" width="7.25" bestFit="1" customWidth="1"/>
    <col min="7948" max="7948" width="7.25" bestFit="1" customWidth="1"/>
    <col min="8194" max="8194" width="7.25" customWidth="1"/>
    <col min="8195" max="8195" width="12.125" bestFit="1" customWidth="1"/>
    <col min="8196" max="8196" width="9" bestFit="1" customWidth="1"/>
    <col min="8197" max="8197" width="7.25" customWidth="1"/>
    <col min="8198" max="8198" width="7.875" bestFit="1" customWidth="1"/>
    <col min="8199" max="8199" width="10.25" bestFit="1" customWidth="1"/>
    <col min="8200" max="8200" width="7.25" bestFit="1" customWidth="1"/>
    <col min="8204" max="8204" width="7.25" bestFit="1" customWidth="1"/>
    <col min="8450" max="8450" width="7.25" customWidth="1"/>
    <col min="8451" max="8451" width="12.125" bestFit="1" customWidth="1"/>
    <col min="8452" max="8452" width="9" bestFit="1" customWidth="1"/>
    <col min="8453" max="8453" width="7.25" customWidth="1"/>
    <col min="8454" max="8454" width="7.875" bestFit="1" customWidth="1"/>
    <col min="8455" max="8455" width="10.25" bestFit="1" customWidth="1"/>
    <col min="8456" max="8456" width="7.25" bestFit="1" customWidth="1"/>
    <col min="8460" max="8460" width="7.25" bestFit="1" customWidth="1"/>
    <col min="8706" max="8706" width="7.25" customWidth="1"/>
    <col min="8707" max="8707" width="12.125" bestFit="1" customWidth="1"/>
    <col min="8708" max="8708" width="9" bestFit="1" customWidth="1"/>
    <col min="8709" max="8709" width="7.25" customWidth="1"/>
    <col min="8710" max="8710" width="7.875" bestFit="1" customWidth="1"/>
    <col min="8711" max="8711" width="10.25" bestFit="1" customWidth="1"/>
    <col min="8712" max="8712" width="7.25" bestFit="1" customWidth="1"/>
    <col min="8716" max="8716" width="7.25" bestFit="1" customWidth="1"/>
    <col min="8962" max="8962" width="7.25" customWidth="1"/>
    <col min="8963" max="8963" width="12.125" bestFit="1" customWidth="1"/>
    <col min="8964" max="8964" width="9" bestFit="1" customWidth="1"/>
    <col min="8965" max="8965" width="7.25" customWidth="1"/>
    <col min="8966" max="8966" width="7.875" bestFit="1" customWidth="1"/>
    <col min="8967" max="8967" width="10.25" bestFit="1" customWidth="1"/>
    <col min="8968" max="8968" width="7.25" bestFit="1" customWidth="1"/>
    <col min="8972" max="8972" width="7.25" bestFit="1" customWidth="1"/>
    <col min="9218" max="9218" width="7.25" customWidth="1"/>
    <col min="9219" max="9219" width="12.125" bestFit="1" customWidth="1"/>
    <col min="9220" max="9220" width="9" bestFit="1" customWidth="1"/>
    <col min="9221" max="9221" width="7.25" customWidth="1"/>
    <col min="9222" max="9222" width="7.875" bestFit="1" customWidth="1"/>
    <col min="9223" max="9223" width="10.25" bestFit="1" customWidth="1"/>
    <col min="9224" max="9224" width="7.25" bestFit="1" customWidth="1"/>
    <col min="9228" max="9228" width="7.25" bestFit="1" customWidth="1"/>
    <col min="9474" max="9474" width="7.25" customWidth="1"/>
    <col min="9475" max="9475" width="12.125" bestFit="1" customWidth="1"/>
    <col min="9476" max="9476" width="9" bestFit="1" customWidth="1"/>
    <col min="9477" max="9477" width="7.25" customWidth="1"/>
    <col min="9478" max="9478" width="7.875" bestFit="1" customWidth="1"/>
    <col min="9479" max="9479" width="10.25" bestFit="1" customWidth="1"/>
    <col min="9480" max="9480" width="7.25" bestFit="1" customWidth="1"/>
    <col min="9484" max="9484" width="7.25" bestFit="1" customWidth="1"/>
    <col min="9730" max="9730" width="7.25" customWidth="1"/>
    <col min="9731" max="9731" width="12.125" bestFit="1" customWidth="1"/>
    <col min="9732" max="9732" width="9" bestFit="1" customWidth="1"/>
    <col min="9733" max="9733" width="7.25" customWidth="1"/>
    <col min="9734" max="9734" width="7.875" bestFit="1" customWidth="1"/>
    <col min="9735" max="9735" width="10.25" bestFit="1" customWidth="1"/>
    <col min="9736" max="9736" width="7.25" bestFit="1" customWidth="1"/>
    <col min="9740" max="9740" width="7.25" bestFit="1" customWidth="1"/>
    <col min="9986" max="9986" width="7.25" customWidth="1"/>
    <col min="9987" max="9987" width="12.125" bestFit="1" customWidth="1"/>
    <col min="9988" max="9988" width="9" bestFit="1" customWidth="1"/>
    <col min="9989" max="9989" width="7.25" customWidth="1"/>
    <col min="9990" max="9990" width="7.875" bestFit="1" customWidth="1"/>
    <col min="9991" max="9991" width="10.25" bestFit="1" customWidth="1"/>
    <col min="9992" max="9992" width="7.25" bestFit="1" customWidth="1"/>
    <col min="9996" max="9996" width="7.25" bestFit="1" customWidth="1"/>
    <col min="10242" max="10242" width="7.25" customWidth="1"/>
    <col min="10243" max="10243" width="12.125" bestFit="1" customWidth="1"/>
    <col min="10244" max="10244" width="9" bestFit="1" customWidth="1"/>
    <col min="10245" max="10245" width="7.25" customWidth="1"/>
    <col min="10246" max="10246" width="7.875" bestFit="1" customWidth="1"/>
    <col min="10247" max="10247" width="10.25" bestFit="1" customWidth="1"/>
    <col min="10248" max="10248" width="7.25" bestFit="1" customWidth="1"/>
    <col min="10252" max="10252" width="7.25" bestFit="1" customWidth="1"/>
    <col min="10498" max="10498" width="7.25" customWidth="1"/>
    <col min="10499" max="10499" width="12.125" bestFit="1" customWidth="1"/>
    <col min="10500" max="10500" width="9" bestFit="1" customWidth="1"/>
    <col min="10501" max="10501" width="7.25" customWidth="1"/>
    <col min="10502" max="10502" width="7.875" bestFit="1" customWidth="1"/>
    <col min="10503" max="10503" width="10.25" bestFit="1" customWidth="1"/>
    <col min="10504" max="10504" width="7.25" bestFit="1" customWidth="1"/>
    <col min="10508" max="10508" width="7.25" bestFit="1" customWidth="1"/>
    <col min="10754" max="10754" width="7.25" customWidth="1"/>
    <col min="10755" max="10755" width="12.125" bestFit="1" customWidth="1"/>
    <col min="10756" max="10756" width="9" bestFit="1" customWidth="1"/>
    <col min="10757" max="10757" width="7.25" customWidth="1"/>
    <col min="10758" max="10758" width="7.875" bestFit="1" customWidth="1"/>
    <col min="10759" max="10759" width="10.25" bestFit="1" customWidth="1"/>
    <col min="10760" max="10760" width="7.25" bestFit="1" customWidth="1"/>
    <col min="10764" max="10764" width="7.25" bestFit="1" customWidth="1"/>
    <col min="11010" max="11010" width="7.25" customWidth="1"/>
    <col min="11011" max="11011" width="12.125" bestFit="1" customWidth="1"/>
    <col min="11012" max="11012" width="9" bestFit="1" customWidth="1"/>
    <col min="11013" max="11013" width="7.25" customWidth="1"/>
    <col min="11014" max="11014" width="7.875" bestFit="1" customWidth="1"/>
    <col min="11015" max="11015" width="10.25" bestFit="1" customWidth="1"/>
    <col min="11016" max="11016" width="7.25" bestFit="1" customWidth="1"/>
    <col min="11020" max="11020" width="7.25" bestFit="1" customWidth="1"/>
    <col min="11266" max="11266" width="7.25" customWidth="1"/>
    <col min="11267" max="11267" width="12.125" bestFit="1" customWidth="1"/>
    <col min="11268" max="11268" width="9" bestFit="1" customWidth="1"/>
    <col min="11269" max="11269" width="7.25" customWidth="1"/>
    <col min="11270" max="11270" width="7.875" bestFit="1" customWidth="1"/>
    <col min="11271" max="11271" width="10.25" bestFit="1" customWidth="1"/>
    <col min="11272" max="11272" width="7.25" bestFit="1" customWidth="1"/>
    <col min="11276" max="11276" width="7.25" bestFit="1" customWidth="1"/>
    <col min="11522" max="11522" width="7.25" customWidth="1"/>
    <col min="11523" max="11523" width="12.125" bestFit="1" customWidth="1"/>
    <col min="11524" max="11524" width="9" bestFit="1" customWidth="1"/>
    <col min="11525" max="11525" width="7.25" customWidth="1"/>
    <col min="11526" max="11526" width="7.875" bestFit="1" customWidth="1"/>
    <col min="11527" max="11527" width="10.25" bestFit="1" customWidth="1"/>
    <col min="11528" max="11528" width="7.25" bestFit="1" customWidth="1"/>
    <col min="11532" max="11532" width="7.25" bestFit="1" customWidth="1"/>
    <col min="11778" max="11778" width="7.25" customWidth="1"/>
    <col min="11779" max="11779" width="12.125" bestFit="1" customWidth="1"/>
    <col min="11780" max="11780" width="9" bestFit="1" customWidth="1"/>
    <col min="11781" max="11781" width="7.25" customWidth="1"/>
    <col min="11782" max="11782" width="7.875" bestFit="1" customWidth="1"/>
    <col min="11783" max="11783" width="10.25" bestFit="1" customWidth="1"/>
    <col min="11784" max="11784" width="7.25" bestFit="1" customWidth="1"/>
    <col min="11788" max="11788" width="7.25" bestFit="1" customWidth="1"/>
    <col min="12034" max="12034" width="7.25" customWidth="1"/>
    <col min="12035" max="12035" width="12.125" bestFit="1" customWidth="1"/>
    <col min="12036" max="12036" width="9" bestFit="1" customWidth="1"/>
    <col min="12037" max="12037" width="7.25" customWidth="1"/>
    <col min="12038" max="12038" width="7.875" bestFit="1" customWidth="1"/>
    <col min="12039" max="12039" width="10.25" bestFit="1" customWidth="1"/>
    <col min="12040" max="12040" width="7.25" bestFit="1" customWidth="1"/>
    <col min="12044" max="12044" width="7.25" bestFit="1" customWidth="1"/>
    <col min="12290" max="12290" width="7.25" customWidth="1"/>
    <col min="12291" max="12291" width="12.125" bestFit="1" customWidth="1"/>
    <col min="12292" max="12292" width="9" bestFit="1" customWidth="1"/>
    <col min="12293" max="12293" width="7.25" customWidth="1"/>
    <col min="12294" max="12294" width="7.875" bestFit="1" customWidth="1"/>
    <col min="12295" max="12295" width="10.25" bestFit="1" customWidth="1"/>
    <col min="12296" max="12296" width="7.25" bestFit="1" customWidth="1"/>
    <col min="12300" max="12300" width="7.25" bestFit="1" customWidth="1"/>
    <col min="12546" max="12546" width="7.25" customWidth="1"/>
    <col min="12547" max="12547" width="12.125" bestFit="1" customWidth="1"/>
    <col min="12548" max="12548" width="9" bestFit="1" customWidth="1"/>
    <col min="12549" max="12549" width="7.25" customWidth="1"/>
    <col min="12550" max="12550" width="7.875" bestFit="1" customWidth="1"/>
    <col min="12551" max="12551" width="10.25" bestFit="1" customWidth="1"/>
    <col min="12552" max="12552" width="7.25" bestFit="1" customWidth="1"/>
    <col min="12556" max="12556" width="7.25" bestFit="1" customWidth="1"/>
    <col min="12802" max="12802" width="7.25" customWidth="1"/>
    <col min="12803" max="12803" width="12.125" bestFit="1" customWidth="1"/>
    <col min="12804" max="12804" width="9" bestFit="1" customWidth="1"/>
    <col min="12805" max="12805" width="7.25" customWidth="1"/>
    <col min="12806" max="12806" width="7.875" bestFit="1" customWidth="1"/>
    <col min="12807" max="12807" width="10.25" bestFit="1" customWidth="1"/>
    <col min="12808" max="12808" width="7.25" bestFit="1" customWidth="1"/>
    <col min="12812" max="12812" width="7.25" bestFit="1" customWidth="1"/>
    <col min="13058" max="13058" width="7.25" customWidth="1"/>
    <col min="13059" max="13059" width="12.125" bestFit="1" customWidth="1"/>
    <col min="13060" max="13060" width="9" bestFit="1" customWidth="1"/>
    <col min="13061" max="13061" width="7.25" customWidth="1"/>
    <col min="13062" max="13062" width="7.875" bestFit="1" customWidth="1"/>
    <col min="13063" max="13063" width="10.25" bestFit="1" customWidth="1"/>
    <col min="13064" max="13064" width="7.25" bestFit="1" customWidth="1"/>
    <col min="13068" max="13068" width="7.25" bestFit="1" customWidth="1"/>
    <col min="13314" max="13314" width="7.25" customWidth="1"/>
    <col min="13315" max="13315" width="12.125" bestFit="1" customWidth="1"/>
    <col min="13316" max="13316" width="9" bestFit="1" customWidth="1"/>
    <col min="13317" max="13317" width="7.25" customWidth="1"/>
    <col min="13318" max="13318" width="7.875" bestFit="1" customWidth="1"/>
    <col min="13319" max="13319" width="10.25" bestFit="1" customWidth="1"/>
    <col min="13320" max="13320" width="7.25" bestFit="1" customWidth="1"/>
    <col min="13324" max="13324" width="7.25" bestFit="1" customWidth="1"/>
    <col min="13570" max="13570" width="7.25" customWidth="1"/>
    <col min="13571" max="13571" width="12.125" bestFit="1" customWidth="1"/>
    <col min="13572" max="13572" width="9" bestFit="1" customWidth="1"/>
    <col min="13573" max="13573" width="7.25" customWidth="1"/>
    <col min="13574" max="13574" width="7.875" bestFit="1" customWidth="1"/>
    <col min="13575" max="13575" width="10.25" bestFit="1" customWidth="1"/>
    <col min="13576" max="13576" width="7.25" bestFit="1" customWidth="1"/>
    <col min="13580" max="13580" width="7.25" bestFit="1" customWidth="1"/>
    <col min="13826" max="13826" width="7.25" customWidth="1"/>
    <col min="13827" max="13827" width="12.125" bestFit="1" customWidth="1"/>
    <col min="13828" max="13828" width="9" bestFit="1" customWidth="1"/>
    <col min="13829" max="13829" width="7.25" customWidth="1"/>
    <col min="13830" max="13830" width="7.875" bestFit="1" customWidth="1"/>
    <col min="13831" max="13831" width="10.25" bestFit="1" customWidth="1"/>
    <col min="13832" max="13832" width="7.25" bestFit="1" customWidth="1"/>
    <col min="13836" max="13836" width="7.25" bestFit="1" customWidth="1"/>
    <col min="14082" max="14082" width="7.25" customWidth="1"/>
    <col min="14083" max="14083" width="12.125" bestFit="1" customWidth="1"/>
    <col min="14084" max="14084" width="9" bestFit="1" customWidth="1"/>
    <col min="14085" max="14085" width="7.25" customWidth="1"/>
    <col min="14086" max="14086" width="7.875" bestFit="1" customWidth="1"/>
    <col min="14087" max="14087" width="10.25" bestFit="1" customWidth="1"/>
    <col min="14088" max="14088" width="7.25" bestFit="1" customWidth="1"/>
    <col min="14092" max="14092" width="7.25" bestFit="1" customWidth="1"/>
    <col min="14338" max="14338" width="7.25" customWidth="1"/>
    <col min="14339" max="14339" width="12.125" bestFit="1" customWidth="1"/>
    <col min="14340" max="14340" width="9" bestFit="1" customWidth="1"/>
    <col min="14341" max="14341" width="7.25" customWidth="1"/>
    <col min="14342" max="14342" width="7.875" bestFit="1" customWidth="1"/>
    <col min="14343" max="14343" width="10.25" bestFit="1" customWidth="1"/>
    <col min="14344" max="14344" width="7.25" bestFit="1" customWidth="1"/>
    <col min="14348" max="14348" width="7.25" bestFit="1" customWidth="1"/>
    <col min="14594" max="14594" width="7.25" customWidth="1"/>
    <col min="14595" max="14595" width="12.125" bestFit="1" customWidth="1"/>
    <col min="14596" max="14596" width="9" bestFit="1" customWidth="1"/>
    <col min="14597" max="14597" width="7.25" customWidth="1"/>
    <col min="14598" max="14598" width="7.875" bestFit="1" customWidth="1"/>
    <col min="14599" max="14599" width="10.25" bestFit="1" customWidth="1"/>
    <col min="14600" max="14600" width="7.25" bestFit="1" customWidth="1"/>
    <col min="14604" max="14604" width="7.25" bestFit="1" customWidth="1"/>
    <col min="14850" max="14850" width="7.25" customWidth="1"/>
    <col min="14851" max="14851" width="12.125" bestFit="1" customWidth="1"/>
    <col min="14852" max="14852" width="9" bestFit="1" customWidth="1"/>
    <col min="14853" max="14853" width="7.25" customWidth="1"/>
    <col min="14854" max="14854" width="7.875" bestFit="1" customWidth="1"/>
    <col min="14855" max="14855" width="10.25" bestFit="1" customWidth="1"/>
    <col min="14856" max="14856" width="7.25" bestFit="1" customWidth="1"/>
    <col min="14860" max="14860" width="7.25" bestFit="1" customWidth="1"/>
    <col min="15106" max="15106" width="7.25" customWidth="1"/>
    <col min="15107" max="15107" width="12.125" bestFit="1" customWidth="1"/>
    <col min="15108" max="15108" width="9" bestFit="1" customWidth="1"/>
    <col min="15109" max="15109" width="7.25" customWidth="1"/>
    <col min="15110" max="15110" width="7.875" bestFit="1" customWidth="1"/>
    <col min="15111" max="15111" width="10.25" bestFit="1" customWidth="1"/>
    <col min="15112" max="15112" width="7.25" bestFit="1" customWidth="1"/>
    <col min="15116" max="15116" width="7.25" bestFit="1" customWidth="1"/>
    <col min="15362" max="15362" width="7.25" customWidth="1"/>
    <col min="15363" max="15363" width="12.125" bestFit="1" customWidth="1"/>
    <col min="15364" max="15364" width="9" bestFit="1" customWidth="1"/>
    <col min="15365" max="15365" width="7.25" customWidth="1"/>
    <col min="15366" max="15366" width="7.875" bestFit="1" customWidth="1"/>
    <col min="15367" max="15367" width="10.25" bestFit="1" customWidth="1"/>
    <col min="15368" max="15368" width="7.25" bestFit="1" customWidth="1"/>
    <col min="15372" max="15372" width="7.25" bestFit="1" customWidth="1"/>
    <col min="15618" max="15618" width="7.25" customWidth="1"/>
    <col min="15619" max="15619" width="12.125" bestFit="1" customWidth="1"/>
    <col min="15620" max="15620" width="9" bestFit="1" customWidth="1"/>
    <col min="15621" max="15621" width="7.25" customWidth="1"/>
    <col min="15622" max="15622" width="7.875" bestFit="1" customWidth="1"/>
    <col min="15623" max="15623" width="10.25" bestFit="1" customWidth="1"/>
    <col min="15624" max="15624" width="7.25" bestFit="1" customWidth="1"/>
    <col min="15628" max="15628" width="7.25" bestFit="1" customWidth="1"/>
    <col min="15874" max="15874" width="7.25" customWidth="1"/>
    <col min="15875" max="15875" width="12.125" bestFit="1" customWidth="1"/>
    <col min="15876" max="15876" width="9" bestFit="1" customWidth="1"/>
    <col min="15877" max="15877" width="7.25" customWidth="1"/>
    <col min="15878" max="15878" width="7.875" bestFit="1" customWidth="1"/>
    <col min="15879" max="15879" width="10.25" bestFit="1" customWidth="1"/>
    <col min="15880" max="15880" width="7.25" bestFit="1" customWidth="1"/>
    <col min="15884" max="15884" width="7.25" bestFit="1" customWidth="1"/>
    <col min="16130" max="16130" width="7.25" customWidth="1"/>
    <col min="16131" max="16131" width="12.125" bestFit="1" customWidth="1"/>
    <col min="16132" max="16132" width="9" bestFit="1" customWidth="1"/>
    <col min="16133" max="16133" width="7.25" customWidth="1"/>
    <col min="16134" max="16134" width="7.875" bestFit="1" customWidth="1"/>
    <col min="16135" max="16135" width="10.25" bestFit="1" customWidth="1"/>
    <col min="16136" max="16136" width="7.25" bestFit="1" customWidth="1"/>
    <col min="16140" max="16140" width="7.25" bestFit="1" customWidth="1"/>
  </cols>
  <sheetData>
    <row r="1" spans="2:8" ht="15" thickBot="1"/>
    <row r="2" spans="2:8" ht="15" thickBot="1">
      <c r="B2" s="490" t="s">
        <v>137</v>
      </c>
      <c r="C2" s="491"/>
      <c r="D2" s="491"/>
      <c r="E2" s="491"/>
      <c r="F2" s="491"/>
      <c r="G2" s="492"/>
    </row>
    <row r="3" spans="2:8" ht="15" thickBot="1"/>
    <row r="4" spans="2:8" ht="15.75" thickBot="1">
      <c r="B4" s="68"/>
      <c r="C4" s="69" t="s">
        <v>113</v>
      </c>
      <c r="D4" s="70" t="s">
        <v>114</v>
      </c>
      <c r="E4" s="71" t="s">
        <v>115</v>
      </c>
      <c r="F4" s="72" t="s">
        <v>162</v>
      </c>
      <c r="G4" s="73" t="s">
        <v>163</v>
      </c>
    </row>
    <row r="5" spans="2:8" ht="15">
      <c r="B5" s="493" t="s">
        <v>164</v>
      </c>
      <c r="C5" s="74" t="s">
        <v>165</v>
      </c>
      <c r="D5" s="75">
        <v>113000.5</v>
      </c>
      <c r="E5" s="76">
        <v>113000.5</v>
      </c>
      <c r="F5" s="77"/>
      <c r="G5" s="78">
        <v>226001</v>
      </c>
    </row>
    <row r="6" spans="2:8" ht="15">
      <c r="B6" s="494"/>
      <c r="C6" s="79" t="s">
        <v>166</v>
      </c>
      <c r="D6" s="80">
        <v>0</v>
      </c>
      <c r="E6" s="81">
        <v>0</v>
      </c>
      <c r="F6" s="82"/>
      <c r="G6" s="83">
        <v>0</v>
      </c>
    </row>
    <row r="7" spans="2:8" ht="15">
      <c r="B7" s="494"/>
      <c r="C7" s="79" t="s">
        <v>167</v>
      </c>
      <c r="D7" s="80">
        <v>3061</v>
      </c>
      <c r="E7" s="81">
        <v>3061</v>
      </c>
      <c r="F7" s="82"/>
      <c r="G7" s="83">
        <v>6122</v>
      </c>
    </row>
    <row r="8" spans="2:8" ht="15">
      <c r="B8" s="494"/>
      <c r="C8" s="79" t="s">
        <v>168</v>
      </c>
      <c r="D8" s="80">
        <v>7970</v>
      </c>
      <c r="E8" s="81">
        <v>7970</v>
      </c>
      <c r="F8" s="82"/>
      <c r="G8" s="83">
        <v>15940</v>
      </c>
    </row>
    <row r="9" spans="2:8" ht="15.75" thickBot="1">
      <c r="B9" s="495"/>
      <c r="C9" s="84" t="s">
        <v>169</v>
      </c>
      <c r="D9" s="85">
        <v>30050</v>
      </c>
      <c r="E9" s="86">
        <v>30050</v>
      </c>
      <c r="F9" s="87"/>
      <c r="G9" s="88">
        <v>60100</v>
      </c>
    </row>
    <row r="10" spans="2:8" ht="15.75" thickBot="1">
      <c r="B10" s="89"/>
      <c r="C10" s="89" t="s">
        <v>170</v>
      </c>
      <c r="D10" s="90">
        <v>154081.5</v>
      </c>
      <c r="E10" s="91">
        <v>154081.5</v>
      </c>
      <c r="F10" s="92">
        <v>0</v>
      </c>
      <c r="G10" s="93">
        <v>308163</v>
      </c>
    </row>
    <row r="11" spans="2:8" ht="15.75" thickBot="1">
      <c r="C11" s="89" t="s">
        <v>171</v>
      </c>
      <c r="D11" s="94">
        <v>0.5</v>
      </c>
      <c r="E11" s="95">
        <v>0.5</v>
      </c>
      <c r="F11" s="96">
        <v>0</v>
      </c>
      <c r="G11" s="97">
        <v>1</v>
      </c>
    </row>
    <row r="12" spans="2:8" ht="15" thickBot="1"/>
    <row r="13" spans="2:8" ht="15.75" thickBot="1">
      <c r="B13" s="197"/>
      <c r="C13" s="98" t="s">
        <v>113</v>
      </c>
      <c r="D13" s="70" t="s">
        <v>114</v>
      </c>
      <c r="E13" s="71" t="s">
        <v>115</v>
      </c>
      <c r="F13" s="72" t="s">
        <v>162</v>
      </c>
      <c r="G13" s="99" t="s">
        <v>172</v>
      </c>
      <c r="H13" s="100"/>
    </row>
    <row r="14" spans="2:8" ht="15">
      <c r="B14" s="496" t="s">
        <v>116</v>
      </c>
      <c r="C14" s="101" t="s">
        <v>173</v>
      </c>
      <c r="D14" s="198">
        <v>42459619.5</v>
      </c>
      <c r="E14" s="199">
        <v>6321830.5</v>
      </c>
      <c r="F14" s="16"/>
      <c r="G14" s="102">
        <v>48781450</v>
      </c>
      <c r="H14" s="24"/>
    </row>
    <row r="15" spans="2:8" ht="15">
      <c r="B15" s="497"/>
      <c r="C15" s="103" t="s">
        <v>174</v>
      </c>
      <c r="D15" s="200">
        <v>3593851</v>
      </c>
      <c r="E15" s="28"/>
      <c r="F15" s="201"/>
      <c r="G15" s="104">
        <v>3593851</v>
      </c>
      <c r="H15" s="24"/>
    </row>
    <row r="16" spans="2:8" ht="15">
      <c r="B16" s="497"/>
      <c r="C16" s="103" t="s">
        <v>175</v>
      </c>
      <c r="D16" s="200">
        <v>50840</v>
      </c>
      <c r="E16" s="28">
        <v>10087</v>
      </c>
      <c r="F16" s="201"/>
      <c r="G16" s="104">
        <v>60927</v>
      </c>
      <c r="H16" s="24"/>
    </row>
    <row r="17" spans="2:8" ht="15">
      <c r="B17" s="497"/>
      <c r="C17" s="103" t="s">
        <v>117</v>
      </c>
      <c r="D17" s="202">
        <v>810540.5</v>
      </c>
      <c r="E17" s="203">
        <v>810540.5</v>
      </c>
      <c r="F17" s="201"/>
      <c r="G17" s="104">
        <v>1621081</v>
      </c>
      <c r="H17" s="24"/>
    </row>
    <row r="18" spans="2:8" ht="15">
      <c r="B18" s="497"/>
      <c r="C18" s="103" t="s">
        <v>176</v>
      </c>
      <c r="D18" s="200">
        <v>5020693</v>
      </c>
      <c r="E18" s="28"/>
      <c r="F18" s="201"/>
      <c r="G18" s="104">
        <v>5020693</v>
      </c>
      <c r="H18" s="24"/>
    </row>
    <row r="19" spans="2:8" ht="15">
      <c r="B19" s="497"/>
      <c r="C19" s="103" t="s">
        <v>177</v>
      </c>
      <c r="D19" s="200">
        <v>272936.5</v>
      </c>
      <c r="E19" s="28">
        <v>272936.5</v>
      </c>
      <c r="F19" s="201"/>
      <c r="G19" s="104">
        <v>545873</v>
      </c>
      <c r="H19" s="24"/>
    </row>
    <row r="20" spans="2:8" ht="15">
      <c r="B20" s="497"/>
      <c r="C20" s="103" t="s">
        <v>178</v>
      </c>
      <c r="D20" s="202">
        <v>12200289.749999998</v>
      </c>
      <c r="E20" s="203">
        <v>15834634.25</v>
      </c>
      <c r="F20" s="201"/>
      <c r="G20" s="104">
        <v>28034924</v>
      </c>
      <c r="H20" s="24"/>
    </row>
    <row r="21" spans="2:8" ht="15">
      <c r="B21" s="497"/>
      <c r="C21" s="103" t="s">
        <v>118</v>
      </c>
      <c r="D21" s="200"/>
      <c r="E21" s="28">
        <v>2485381</v>
      </c>
      <c r="F21" s="201"/>
      <c r="G21" s="104">
        <v>2485381</v>
      </c>
      <c r="H21" s="24"/>
    </row>
    <row r="22" spans="2:8" ht="15">
      <c r="B22" s="497"/>
      <c r="C22" s="103" t="s">
        <v>119</v>
      </c>
      <c r="D22" s="200"/>
      <c r="E22" s="28">
        <v>95852</v>
      </c>
      <c r="F22" s="201"/>
      <c r="G22" s="104">
        <v>95852</v>
      </c>
      <c r="H22" s="24"/>
    </row>
    <row r="23" spans="2:8" ht="15">
      <c r="B23" s="497"/>
      <c r="C23" s="103" t="s">
        <v>120</v>
      </c>
      <c r="D23" s="200"/>
      <c r="E23" s="28">
        <v>367404</v>
      </c>
      <c r="F23" s="201"/>
      <c r="G23" s="104">
        <v>367404</v>
      </c>
      <c r="H23" s="24"/>
    </row>
    <row r="24" spans="2:8" ht="15.75" thickBot="1">
      <c r="B24" s="498"/>
      <c r="C24" s="105" t="s">
        <v>121</v>
      </c>
      <c r="D24" s="204">
        <v>56018</v>
      </c>
      <c r="E24" s="205">
        <v>32820</v>
      </c>
      <c r="F24" s="206"/>
      <c r="G24" s="106">
        <v>88838</v>
      </c>
      <c r="H24" s="24"/>
    </row>
    <row r="25" spans="2:8" ht="15" thickBot="1">
      <c r="B25" s="207"/>
      <c r="C25" s="107" t="s">
        <v>179</v>
      </c>
      <c r="D25" s="108">
        <v>64464788.25</v>
      </c>
      <c r="E25" s="109">
        <v>26231485.75</v>
      </c>
      <c r="F25" s="110">
        <v>0</v>
      </c>
      <c r="G25" s="111">
        <v>90696274</v>
      </c>
      <c r="H25" s="24"/>
    </row>
    <row r="26" spans="2:8" ht="15" thickBot="1">
      <c r="C26" s="107" t="s">
        <v>180</v>
      </c>
      <c r="D26" s="112">
        <v>0.71077658879349337</v>
      </c>
      <c r="E26" s="113">
        <v>0.28922341120650669</v>
      </c>
      <c r="F26" s="114">
        <v>0</v>
      </c>
      <c r="G26" s="115">
        <v>1</v>
      </c>
      <c r="H26" s="24"/>
    </row>
    <row r="27" spans="2:8" ht="15" thickBot="1"/>
    <row r="28" spans="2:8" ht="15.75" thickBot="1">
      <c r="B28" s="197"/>
      <c r="C28" s="98" t="s">
        <v>113</v>
      </c>
      <c r="D28" s="116" t="s">
        <v>114</v>
      </c>
      <c r="E28" s="71" t="s">
        <v>115</v>
      </c>
      <c r="F28" s="117" t="s">
        <v>162</v>
      </c>
      <c r="G28" s="118" t="s">
        <v>181</v>
      </c>
    </row>
    <row r="29" spans="2:8" ht="15">
      <c r="B29" s="496" t="s">
        <v>122</v>
      </c>
      <c r="C29" s="101" t="s">
        <v>182</v>
      </c>
      <c r="D29" s="208"/>
      <c r="E29" s="209">
        <v>357490</v>
      </c>
      <c r="F29" s="210">
        <v>3291672</v>
      </c>
      <c r="G29" s="119">
        <v>3649162</v>
      </c>
      <c r="H29" s="24"/>
    </row>
    <row r="30" spans="2:8" ht="15">
      <c r="B30" s="499"/>
      <c r="C30" s="103" t="s">
        <v>123</v>
      </c>
      <c r="D30" s="211">
        <v>2362492</v>
      </c>
      <c r="E30" s="28"/>
      <c r="F30" s="212"/>
      <c r="G30" s="120">
        <v>2362492</v>
      </c>
      <c r="H30" s="24"/>
    </row>
    <row r="31" spans="2:8" ht="15">
      <c r="B31" s="499"/>
      <c r="C31" s="103" t="s">
        <v>124</v>
      </c>
      <c r="D31" s="211"/>
      <c r="E31" s="28">
        <v>173148</v>
      </c>
      <c r="F31" s="212">
        <v>0</v>
      </c>
      <c r="G31" s="120">
        <v>173148</v>
      </c>
      <c r="H31" s="24"/>
    </row>
    <row r="32" spans="2:8" ht="15">
      <c r="B32" s="499"/>
      <c r="C32" s="103" t="s">
        <v>125</v>
      </c>
      <c r="D32" s="211">
        <v>17599541</v>
      </c>
      <c r="E32" s="28"/>
      <c r="F32" s="212"/>
      <c r="G32" s="120">
        <v>17599541</v>
      </c>
      <c r="H32" s="24"/>
    </row>
    <row r="33" spans="2:8" ht="15">
      <c r="B33" s="499"/>
      <c r="C33" s="103" t="s">
        <v>126</v>
      </c>
      <c r="D33" s="211"/>
      <c r="E33" s="28">
        <v>4804741</v>
      </c>
      <c r="F33" s="212"/>
      <c r="G33" s="120">
        <v>4804741</v>
      </c>
      <c r="H33" s="24"/>
    </row>
    <row r="34" spans="2:8" ht="15">
      <c r="B34" s="499"/>
      <c r="C34" s="103" t="s">
        <v>127</v>
      </c>
      <c r="D34" s="211">
        <v>16702752</v>
      </c>
      <c r="E34" s="28"/>
      <c r="F34" s="212"/>
      <c r="G34" s="120">
        <v>16702752</v>
      </c>
      <c r="H34" s="24"/>
    </row>
    <row r="35" spans="2:8" ht="15.75" thickBot="1">
      <c r="B35" s="500"/>
      <c r="C35" s="105" t="s">
        <v>183</v>
      </c>
      <c r="D35" s="213">
        <v>8062304</v>
      </c>
      <c r="E35" s="205"/>
      <c r="F35" s="214"/>
      <c r="G35" s="121">
        <v>8062304</v>
      </c>
      <c r="H35" s="24"/>
    </row>
    <row r="36" spans="2:8" ht="15" thickBot="1">
      <c r="B36" s="215"/>
      <c r="C36" s="107" t="s">
        <v>184</v>
      </c>
      <c r="D36" s="122">
        <v>44727089</v>
      </c>
      <c r="E36" s="109">
        <v>5335379</v>
      </c>
      <c r="F36" s="123">
        <v>3291672</v>
      </c>
      <c r="G36" s="124">
        <v>53354140</v>
      </c>
      <c r="H36" s="24"/>
    </row>
    <row r="37" spans="2:8" ht="15" thickBot="1">
      <c r="D37" s="24"/>
      <c r="E37" s="24"/>
      <c r="F37" s="24"/>
      <c r="G37" s="125"/>
      <c r="H37" s="24"/>
    </row>
    <row r="38" spans="2:8" ht="15.75" thickBot="1">
      <c r="B38" s="197"/>
      <c r="C38" s="98" t="s">
        <v>113</v>
      </c>
      <c r="D38" s="70" t="s">
        <v>114</v>
      </c>
      <c r="E38" s="71" t="s">
        <v>115</v>
      </c>
      <c r="F38" s="72" t="s">
        <v>162</v>
      </c>
      <c r="G38" s="99" t="s">
        <v>185</v>
      </c>
      <c r="H38" s="24"/>
    </row>
    <row r="39" spans="2:8" ht="15">
      <c r="B39" s="501" t="s">
        <v>128</v>
      </c>
      <c r="C39" s="101" t="s">
        <v>186</v>
      </c>
      <c r="D39" s="198">
        <v>1672364</v>
      </c>
      <c r="E39" s="199">
        <v>1295157</v>
      </c>
      <c r="F39" s="16"/>
      <c r="G39" s="102">
        <v>2967521</v>
      </c>
    </row>
    <row r="40" spans="2:8" ht="15">
      <c r="B40" s="499"/>
      <c r="C40" s="103" t="s">
        <v>182</v>
      </c>
      <c r="D40" s="200">
        <v>61904</v>
      </c>
      <c r="E40" s="28"/>
      <c r="F40" s="201"/>
      <c r="G40" s="104">
        <v>61904</v>
      </c>
      <c r="H40" s="24"/>
    </row>
    <row r="41" spans="2:8" ht="15">
      <c r="B41" s="499"/>
      <c r="C41" s="103" t="s">
        <v>187</v>
      </c>
      <c r="D41" s="202">
        <v>5128894</v>
      </c>
      <c r="E41" s="203">
        <v>5128894</v>
      </c>
      <c r="F41" s="201"/>
      <c r="G41" s="104">
        <v>10257788</v>
      </c>
      <c r="H41" s="24"/>
    </row>
    <row r="42" spans="2:8" ht="15">
      <c r="B42" s="499"/>
      <c r="C42" s="103" t="s">
        <v>129</v>
      </c>
      <c r="D42" s="202">
        <v>231065</v>
      </c>
      <c r="E42" s="203">
        <v>213544</v>
      </c>
      <c r="F42" s="201"/>
      <c r="G42" s="104">
        <v>444609</v>
      </c>
      <c r="H42" s="24"/>
    </row>
    <row r="43" spans="2:8" ht="15">
      <c r="B43" s="499"/>
      <c r="C43" s="103" t="s">
        <v>130</v>
      </c>
      <c r="D43" s="202">
        <v>786685</v>
      </c>
      <c r="E43" s="203">
        <v>197429</v>
      </c>
      <c r="F43" s="201"/>
      <c r="G43" s="104">
        <v>984114</v>
      </c>
      <c r="H43" s="24"/>
    </row>
    <row r="44" spans="2:8" ht="15">
      <c r="B44" s="499"/>
      <c r="C44" s="103" t="s">
        <v>188</v>
      </c>
      <c r="D44" s="200">
        <v>225370</v>
      </c>
      <c r="E44" s="28"/>
      <c r="F44" s="201"/>
      <c r="G44" s="104">
        <v>225370</v>
      </c>
      <c r="H44" s="24"/>
    </row>
    <row r="45" spans="2:8" ht="15">
      <c r="B45" s="499"/>
      <c r="C45" s="103" t="s">
        <v>131</v>
      </c>
      <c r="D45" s="200"/>
      <c r="E45" s="28">
        <v>419228</v>
      </c>
      <c r="F45" s="201"/>
      <c r="G45" s="104">
        <v>419228</v>
      </c>
      <c r="H45" s="24"/>
    </row>
    <row r="46" spans="2:8" ht="15">
      <c r="B46" s="499"/>
      <c r="C46" s="103" t="s">
        <v>189</v>
      </c>
      <c r="D46" s="202">
        <v>56021.875</v>
      </c>
      <c r="E46" s="203">
        <v>8003.125</v>
      </c>
      <c r="F46" s="201"/>
      <c r="G46" s="104">
        <v>64025</v>
      </c>
      <c r="H46" s="24"/>
    </row>
    <row r="47" spans="2:8" ht="15">
      <c r="B47" s="499"/>
      <c r="C47" s="103" t="s">
        <v>190</v>
      </c>
      <c r="D47" s="200">
        <v>111859</v>
      </c>
      <c r="E47" s="28">
        <v>111859</v>
      </c>
      <c r="F47" s="201">
        <v>0</v>
      </c>
      <c r="G47" s="104">
        <v>223718</v>
      </c>
      <c r="H47" s="24"/>
    </row>
    <row r="48" spans="2:8" ht="15.75" thickBot="1">
      <c r="B48" s="500"/>
      <c r="C48" s="105" t="s">
        <v>132</v>
      </c>
      <c r="D48" s="204">
        <v>32550</v>
      </c>
      <c r="E48" s="205">
        <v>32550</v>
      </c>
      <c r="F48" s="206"/>
      <c r="G48" s="106">
        <v>65100</v>
      </c>
      <c r="H48" s="24"/>
    </row>
    <row r="49" spans="2:9" ht="15" thickBot="1">
      <c r="B49" s="216"/>
      <c r="C49" s="126" t="s">
        <v>191</v>
      </c>
      <c r="D49" s="127">
        <v>8306712.875</v>
      </c>
      <c r="E49" s="128">
        <v>7406664.125</v>
      </c>
      <c r="F49" s="129">
        <v>0</v>
      </c>
      <c r="G49" s="130">
        <v>15713377</v>
      </c>
      <c r="H49" s="24"/>
    </row>
    <row r="50" spans="2:9" ht="15" thickBot="1">
      <c r="B50" s="215"/>
      <c r="C50" s="107" t="s">
        <v>133</v>
      </c>
      <c r="D50" s="131">
        <v>53033801.875</v>
      </c>
      <c r="E50" s="132">
        <v>12742043.125</v>
      </c>
      <c r="F50" s="133">
        <v>3291672</v>
      </c>
      <c r="G50" s="134">
        <v>69067517</v>
      </c>
      <c r="H50" s="24"/>
    </row>
    <row r="51" spans="2:9" ht="15" thickBot="1">
      <c r="H51" s="24"/>
      <c r="I51" s="24"/>
    </row>
    <row r="52" spans="2:9" ht="15.75" thickBot="1">
      <c r="B52" s="197"/>
      <c r="C52" s="98" t="s">
        <v>113</v>
      </c>
      <c r="D52" s="70" t="s">
        <v>114</v>
      </c>
      <c r="E52" s="71" t="s">
        <v>115</v>
      </c>
      <c r="F52" s="72" t="s">
        <v>162</v>
      </c>
      <c r="G52" s="99" t="s">
        <v>192</v>
      </c>
      <c r="H52" s="135"/>
    </row>
    <row r="53" spans="2:9" ht="15">
      <c r="B53" s="487" t="s">
        <v>134</v>
      </c>
      <c r="C53" s="101" t="s">
        <v>193</v>
      </c>
      <c r="D53" s="217">
        <v>88806</v>
      </c>
      <c r="E53" s="209">
        <v>88806</v>
      </c>
      <c r="F53" s="16"/>
      <c r="G53" s="102">
        <v>177612</v>
      </c>
      <c r="H53" s="24"/>
    </row>
    <row r="54" spans="2:9" ht="15">
      <c r="B54" s="488"/>
      <c r="C54" s="103" t="s">
        <v>194</v>
      </c>
      <c r="D54" s="200">
        <v>6078290</v>
      </c>
      <c r="E54" s="28">
        <v>6078290</v>
      </c>
      <c r="F54" s="201"/>
      <c r="G54" s="104">
        <v>12156580</v>
      </c>
      <c r="H54" s="24"/>
    </row>
    <row r="55" spans="2:9" ht="15.75" thickBot="1">
      <c r="B55" s="489"/>
      <c r="C55" s="105" t="s">
        <v>195</v>
      </c>
      <c r="D55" s="204">
        <v>0</v>
      </c>
      <c r="E55" s="205">
        <v>106902</v>
      </c>
      <c r="F55" s="206"/>
      <c r="G55" s="106">
        <v>106902</v>
      </c>
      <c r="H55" s="24"/>
    </row>
    <row r="56" spans="2:9" ht="15" thickBot="1">
      <c r="B56" s="207"/>
      <c r="C56" s="107" t="s">
        <v>196</v>
      </c>
      <c r="D56" s="108">
        <v>6167096</v>
      </c>
      <c r="E56" s="109">
        <v>6273998</v>
      </c>
      <c r="F56" s="110">
        <v>0</v>
      </c>
      <c r="G56" s="111">
        <v>12441094</v>
      </c>
      <c r="H56" s="24"/>
    </row>
    <row r="57" spans="2:9" ht="15" thickBot="1">
      <c r="D57" s="67"/>
      <c r="H57" s="24"/>
    </row>
    <row r="58" spans="2:9" ht="15.75" thickBot="1">
      <c r="B58" s="197"/>
      <c r="C58" s="98" t="s">
        <v>113</v>
      </c>
      <c r="D58" s="116" t="s">
        <v>114</v>
      </c>
      <c r="E58" s="71" t="s">
        <v>115</v>
      </c>
      <c r="F58" s="117" t="s">
        <v>162</v>
      </c>
      <c r="G58" s="118" t="s">
        <v>197</v>
      </c>
      <c r="H58" s="24"/>
    </row>
    <row r="59" spans="2:9" ht="15.75" thickBot="1">
      <c r="B59" s="136" t="s">
        <v>135</v>
      </c>
      <c r="C59" s="137" t="s">
        <v>136</v>
      </c>
      <c r="D59" s="218">
        <v>48400</v>
      </c>
      <c r="E59" s="219">
        <v>48400</v>
      </c>
      <c r="F59" s="220"/>
      <c r="G59" s="138">
        <v>96800</v>
      </c>
      <c r="H59" s="24"/>
    </row>
    <row r="60" spans="2:9" ht="15" thickBot="1">
      <c r="B60" s="207"/>
      <c r="C60" s="107" t="s">
        <v>198</v>
      </c>
      <c r="D60" s="122">
        <v>48400</v>
      </c>
      <c r="E60" s="109">
        <v>48400</v>
      </c>
      <c r="F60" s="123">
        <v>0</v>
      </c>
      <c r="G60" s="124">
        <v>96800</v>
      </c>
      <c r="H60" s="24"/>
    </row>
    <row r="61" spans="2:9" ht="15" thickBot="1">
      <c r="H61" s="24"/>
    </row>
    <row r="62" spans="2:9" ht="15.75" thickBot="1">
      <c r="C62" s="139" t="s">
        <v>199</v>
      </c>
      <c r="D62" s="140" t="s">
        <v>114</v>
      </c>
      <c r="E62" s="141" t="s">
        <v>115</v>
      </c>
      <c r="F62" s="142" t="s">
        <v>162</v>
      </c>
      <c r="G62" s="143">
        <v>2021</v>
      </c>
      <c r="H62" s="24"/>
    </row>
    <row r="63" spans="2:9" ht="15">
      <c r="B63" s="100"/>
      <c r="C63" s="144" t="s">
        <v>200</v>
      </c>
      <c r="D63" s="75">
        <v>154081.5</v>
      </c>
      <c r="E63" s="76">
        <v>154081.5</v>
      </c>
      <c r="F63" s="145">
        <v>0</v>
      </c>
      <c r="G63" s="119">
        <v>308163</v>
      </c>
      <c r="H63" s="24"/>
    </row>
    <row r="64" spans="2:9" ht="15.75" thickBot="1">
      <c r="B64" s="100"/>
      <c r="C64" s="146" t="s">
        <v>201</v>
      </c>
      <c r="D64" s="147">
        <v>123714086.125</v>
      </c>
      <c r="E64" s="148">
        <v>45295926.875</v>
      </c>
      <c r="F64" s="149">
        <v>3291672</v>
      </c>
      <c r="G64" s="150">
        <v>172301685</v>
      </c>
      <c r="H64" s="24"/>
    </row>
    <row r="65" spans="2:8" ht="15" thickBot="1">
      <c r="C65" s="126" t="s">
        <v>202</v>
      </c>
      <c r="D65" s="151">
        <v>123868167.625</v>
      </c>
      <c r="E65" s="152">
        <v>45450008.375</v>
      </c>
      <c r="F65" s="153">
        <v>3291672</v>
      </c>
      <c r="G65" s="154">
        <v>172609848</v>
      </c>
      <c r="H65" s="24"/>
    </row>
    <row r="66" spans="2:8" s="100" customFormat="1" ht="15.75" thickBot="1">
      <c r="B66"/>
      <c r="C66"/>
      <c r="D66"/>
      <c r="E66"/>
      <c r="F66"/>
      <c r="G66" s="67"/>
    </row>
    <row r="67" spans="2:8" s="100" customFormat="1" ht="15.75" thickBot="1">
      <c r="B67"/>
      <c r="C67" s="155" t="s">
        <v>203</v>
      </c>
      <c r="D67" s="140" t="s">
        <v>114</v>
      </c>
      <c r="E67" s="156" t="s">
        <v>115</v>
      </c>
      <c r="F67" s="221">
        <v>2021</v>
      </c>
      <c r="G67" s="67"/>
      <c r="H67"/>
    </row>
    <row r="68" spans="2:8" ht="15">
      <c r="C68" s="144" t="s">
        <v>200</v>
      </c>
      <c r="D68" s="157">
        <v>154081.5</v>
      </c>
      <c r="E68" s="158">
        <v>154081.5</v>
      </c>
      <c r="F68" s="159">
        <v>308163</v>
      </c>
      <c r="G68" s="125">
        <v>169318176</v>
      </c>
      <c r="H68" s="67" t="s">
        <v>203</v>
      </c>
    </row>
    <row r="69" spans="2:8" ht="15.75" thickBot="1">
      <c r="C69" s="146" t="s">
        <v>201</v>
      </c>
      <c r="D69" s="85">
        <v>123714086.125</v>
      </c>
      <c r="E69" s="160">
        <v>45295926.875</v>
      </c>
      <c r="F69" s="161">
        <v>169010013</v>
      </c>
      <c r="G69" s="125">
        <v>3291672</v>
      </c>
      <c r="H69" s="67" t="s">
        <v>162</v>
      </c>
    </row>
    <row r="70" spans="2:8" ht="15" thickBot="1">
      <c r="C70" s="162" t="s">
        <v>204</v>
      </c>
      <c r="D70" s="151">
        <v>123868167.625</v>
      </c>
      <c r="E70" s="163">
        <v>45450008.375</v>
      </c>
      <c r="F70" s="154">
        <v>169318176</v>
      </c>
      <c r="G70" s="125">
        <v>172609848</v>
      </c>
      <c r="H70" s="67" t="s">
        <v>205</v>
      </c>
    </row>
    <row r="71" spans="2:8" ht="15" thickBot="1"/>
    <row r="72" spans="2:8" ht="15" thickBot="1">
      <c r="F72" s="154">
        <v>1693181.76</v>
      </c>
      <c r="G72" s="67" t="s">
        <v>206</v>
      </c>
    </row>
    <row r="73" spans="2:8" ht="15" thickBot="1"/>
    <row r="74" spans="2:8" ht="15" thickBot="1">
      <c r="B74" s="228"/>
      <c r="C74" s="229" t="s">
        <v>855</v>
      </c>
      <c r="D74" s="230">
        <f>D70/F70</f>
        <v>0.7315704111116812</v>
      </c>
      <c r="E74" s="230">
        <f>E70/F70</f>
        <v>0.26842958888831875</v>
      </c>
      <c r="F74" s="230"/>
      <c r="G74" s="230"/>
      <c r="H74" s="231"/>
    </row>
    <row r="75" spans="2:8" ht="15" thickBot="1">
      <c r="B75" s="232"/>
      <c r="C75" s="223" t="s">
        <v>856</v>
      </c>
      <c r="D75" s="224">
        <f>G75*D74</f>
        <v>125366850.08377239</v>
      </c>
      <c r="E75" s="225">
        <f>G75*E74</f>
        <v>45999908.576227508</v>
      </c>
      <c r="F75" s="226"/>
      <c r="G75" s="227">
        <f>'Provozní aktiva ZC'!I56</f>
        <v>171366758.65999991</v>
      </c>
      <c r="H75" s="233"/>
    </row>
    <row r="76" spans="2:8" ht="15" thickBot="1">
      <c r="B76" s="234"/>
      <c r="C76" s="235"/>
      <c r="D76" s="235"/>
      <c r="E76" s="235"/>
      <c r="F76" s="235"/>
      <c r="G76" s="235"/>
      <c r="H76" s="236"/>
    </row>
  </sheetData>
  <mergeCells count="6">
    <mergeCell ref="B53:B55"/>
    <mergeCell ref="B2:G2"/>
    <mergeCell ref="B5:B9"/>
    <mergeCell ref="B14:B24"/>
    <mergeCell ref="B29:B35"/>
    <mergeCell ref="B39:B48"/>
  </mergeCells>
  <pageMargins left="0.7" right="0.7" top="0.78740157499999996" bottom="0.78740157499999996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S57"/>
  <sheetViews>
    <sheetView topLeftCell="B33" zoomScale="70" zoomScaleNormal="70" workbookViewId="0">
      <selection activeCell="G57" sqref="G57"/>
    </sheetView>
  </sheetViews>
  <sheetFormatPr defaultRowHeight="14.25"/>
  <cols>
    <col min="2" max="2" width="2.75" bestFit="1" customWidth="1"/>
    <col min="3" max="3" width="58.25" customWidth="1"/>
    <col min="4" max="4" width="7.75" bestFit="1" customWidth="1"/>
    <col min="5" max="5" width="7" bestFit="1" customWidth="1"/>
    <col min="6" max="6" width="10.875" bestFit="1" customWidth="1"/>
    <col min="7" max="7" width="9.5" bestFit="1" customWidth="1"/>
    <col min="8" max="8" width="11.125" bestFit="1" customWidth="1"/>
    <col min="9" max="9" width="40.5" bestFit="1" customWidth="1"/>
    <col min="10" max="10" width="14.125" bestFit="1" customWidth="1"/>
    <col min="11" max="11" width="14.375" bestFit="1" customWidth="1"/>
    <col min="12" max="12" width="14.875" bestFit="1" customWidth="1"/>
    <col min="13" max="13" width="14.125" bestFit="1" customWidth="1"/>
    <col min="14" max="14" width="3.375" style="300" customWidth="1"/>
    <col min="15" max="15" width="13.75" style="300" bestFit="1" customWidth="1"/>
    <col min="16" max="17" width="8.75" style="300"/>
    <col min="18" max="18" width="9.375" bestFit="1" customWidth="1"/>
    <col min="19" max="19" width="11" bestFit="1" customWidth="1"/>
  </cols>
  <sheetData>
    <row r="1" spans="1:19">
      <c r="A1" s="222"/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</row>
    <row r="2" spans="1:19" ht="30">
      <c r="A2" s="222"/>
      <c r="B2" s="239"/>
      <c r="C2" s="239"/>
      <c r="D2" s="239"/>
      <c r="E2" s="239"/>
      <c r="F2" s="239"/>
      <c r="G2" s="239"/>
      <c r="H2" s="239"/>
      <c r="I2" s="240" t="s">
        <v>774</v>
      </c>
      <c r="J2" s="239"/>
      <c r="K2" s="239"/>
      <c r="L2" s="240"/>
      <c r="M2" s="255"/>
      <c r="N2" s="255"/>
    </row>
    <row r="3" spans="1:19" ht="15">
      <c r="A3" s="222"/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55"/>
    </row>
    <row r="4" spans="1:19" ht="18">
      <c r="A4" s="222"/>
      <c r="B4" s="239"/>
      <c r="C4" s="259" t="s">
        <v>775</v>
      </c>
      <c r="D4" s="259"/>
      <c r="E4" s="259"/>
      <c r="F4" s="259"/>
      <c r="G4" s="259"/>
      <c r="H4" s="259"/>
      <c r="I4" s="239"/>
      <c r="J4" s="239"/>
      <c r="K4" s="239"/>
      <c r="L4" s="246" t="s">
        <v>776</v>
      </c>
      <c r="M4" s="276">
        <v>44784</v>
      </c>
      <c r="N4" s="255"/>
    </row>
    <row r="5" spans="1:19" ht="15">
      <c r="A5" s="222"/>
      <c r="B5" s="239"/>
      <c r="C5" s="248"/>
      <c r="D5" s="502" t="s">
        <v>777</v>
      </c>
      <c r="E5" s="503"/>
      <c r="F5" s="504"/>
      <c r="G5" s="502" t="s">
        <v>778</v>
      </c>
      <c r="H5" s="504"/>
      <c r="I5" s="248"/>
      <c r="J5" s="248"/>
      <c r="K5" s="248"/>
      <c r="L5" s="248"/>
      <c r="M5" s="248"/>
      <c r="N5" s="255"/>
    </row>
    <row r="6" spans="1:19" ht="22.5">
      <c r="A6" s="222"/>
      <c r="B6" s="239"/>
      <c r="C6" s="241"/>
      <c r="D6" s="267" t="s">
        <v>779</v>
      </c>
      <c r="E6" s="267" t="s">
        <v>780</v>
      </c>
      <c r="F6" s="268" t="s">
        <v>781</v>
      </c>
      <c r="G6" s="268" t="s">
        <v>782</v>
      </c>
      <c r="H6" s="268" t="s">
        <v>783</v>
      </c>
      <c r="I6" s="267" t="s">
        <v>784</v>
      </c>
      <c r="J6" s="267" t="s">
        <v>785</v>
      </c>
      <c r="K6" s="267" t="s">
        <v>786</v>
      </c>
      <c r="L6" s="267" t="s">
        <v>787</v>
      </c>
      <c r="M6" s="267" t="s">
        <v>788</v>
      </c>
      <c r="N6" s="255"/>
      <c r="O6" s="343" t="s">
        <v>953</v>
      </c>
      <c r="P6" s="343" t="s">
        <v>944</v>
      </c>
      <c r="Q6" s="343" t="s">
        <v>945</v>
      </c>
      <c r="R6" s="343" t="s">
        <v>954</v>
      </c>
      <c r="S6" s="343" t="s">
        <v>955</v>
      </c>
    </row>
    <row r="7" spans="1:19" ht="15">
      <c r="A7" s="222"/>
      <c r="B7" s="239"/>
      <c r="C7" s="241" t="s">
        <v>789</v>
      </c>
      <c r="D7" s="241"/>
      <c r="E7" s="241"/>
      <c r="F7" s="241"/>
      <c r="G7" s="241"/>
      <c r="H7" s="241"/>
      <c r="I7" s="269"/>
      <c r="J7" s="269"/>
      <c r="K7" s="269"/>
      <c r="L7" s="269"/>
      <c r="M7" s="269"/>
      <c r="N7" s="255"/>
    </row>
    <row r="8" spans="1:19" ht="15">
      <c r="A8" s="222"/>
      <c r="B8" s="239">
        <v>1</v>
      </c>
      <c r="C8" s="245" t="s">
        <v>790</v>
      </c>
      <c r="D8" s="270" t="s">
        <v>791</v>
      </c>
      <c r="E8" s="270" t="s">
        <v>792</v>
      </c>
      <c r="F8" s="270" t="s">
        <v>793</v>
      </c>
      <c r="G8" s="270"/>
      <c r="H8" s="270" t="s">
        <v>794</v>
      </c>
      <c r="I8" s="325">
        <v>5600000</v>
      </c>
      <c r="J8" s="247">
        <v>0</v>
      </c>
      <c r="K8" s="247">
        <v>5600000</v>
      </c>
      <c r="L8" s="247"/>
      <c r="M8" s="247">
        <v>-5600000</v>
      </c>
      <c r="N8" s="255"/>
      <c r="O8" s="344">
        <f>I8</f>
        <v>5600000</v>
      </c>
      <c r="P8" s="342" t="s">
        <v>793</v>
      </c>
      <c r="Q8" s="307">
        <v>0</v>
      </c>
      <c r="R8" s="344">
        <f t="shared" ref="R8:R10" si="0">O8/S8/12*Q8</f>
        <v>0</v>
      </c>
      <c r="S8" s="300">
        <v>30</v>
      </c>
    </row>
    <row r="9" spans="1:19" ht="15">
      <c r="A9" s="222"/>
      <c r="B9" s="239">
        <v>2</v>
      </c>
      <c r="C9" s="264" t="s">
        <v>795</v>
      </c>
      <c r="D9" s="270" t="s">
        <v>796</v>
      </c>
      <c r="E9" s="270" t="s">
        <v>797</v>
      </c>
      <c r="F9" s="270" t="s">
        <v>797</v>
      </c>
      <c r="G9" s="270"/>
      <c r="H9" s="270" t="s">
        <v>794</v>
      </c>
      <c r="I9" s="326">
        <v>18000000</v>
      </c>
      <c r="J9" s="247">
        <v>10800000</v>
      </c>
      <c r="K9" s="247">
        <v>7200000</v>
      </c>
      <c r="L9" s="247"/>
      <c r="M9" s="247">
        <v>-18000000</v>
      </c>
      <c r="N9" s="255"/>
      <c r="P9" s="339">
        <v>2023</v>
      </c>
      <c r="Q9" s="340"/>
      <c r="R9" s="344"/>
      <c r="S9" s="300"/>
    </row>
    <row r="10" spans="1:19" ht="15">
      <c r="A10" s="222"/>
      <c r="B10" s="239">
        <v>3</v>
      </c>
      <c r="C10" s="245" t="s">
        <v>798</v>
      </c>
      <c r="D10" s="270" t="s">
        <v>799</v>
      </c>
      <c r="E10" s="270" t="s">
        <v>800</v>
      </c>
      <c r="F10" s="270" t="s">
        <v>800</v>
      </c>
      <c r="G10" s="270"/>
      <c r="H10" s="270" t="s">
        <v>794</v>
      </c>
      <c r="I10" s="327">
        <v>2400000</v>
      </c>
      <c r="J10" s="247">
        <v>0</v>
      </c>
      <c r="K10" s="247">
        <v>2400000</v>
      </c>
      <c r="L10" s="266">
        <v>2399448</v>
      </c>
      <c r="M10" s="247">
        <v>-552</v>
      </c>
      <c r="N10" s="255"/>
      <c r="O10" s="345">
        <f>I10</f>
        <v>2400000</v>
      </c>
      <c r="P10" s="342" t="s">
        <v>793</v>
      </c>
      <c r="Q10" s="307">
        <v>0</v>
      </c>
      <c r="R10" s="344">
        <f t="shared" si="0"/>
        <v>0</v>
      </c>
      <c r="S10" s="300">
        <v>30</v>
      </c>
    </row>
    <row r="11" spans="1:19" ht="15">
      <c r="A11" s="222"/>
      <c r="B11" s="239">
        <v>4</v>
      </c>
      <c r="C11" s="264" t="s">
        <v>801</v>
      </c>
      <c r="D11" s="270" t="s">
        <v>800</v>
      </c>
      <c r="E11" s="273" t="s">
        <v>802</v>
      </c>
      <c r="F11" s="273" t="s">
        <v>796</v>
      </c>
      <c r="G11" s="270"/>
      <c r="H11" s="270" t="s">
        <v>794</v>
      </c>
      <c r="I11" s="328">
        <v>600000</v>
      </c>
      <c r="J11" s="247">
        <v>0</v>
      </c>
      <c r="K11" s="247">
        <v>600000</v>
      </c>
      <c r="L11" s="247">
        <v>230350</v>
      </c>
      <c r="M11" s="247">
        <v>-369650</v>
      </c>
      <c r="N11" s="255"/>
      <c r="O11" s="341">
        <v>250000</v>
      </c>
      <c r="P11" s="342" t="s">
        <v>946</v>
      </c>
      <c r="Q11" s="307">
        <v>4</v>
      </c>
      <c r="R11" s="344">
        <f>O11/S11/12*Q11</f>
        <v>2777.7777777777778</v>
      </c>
      <c r="S11">
        <v>30</v>
      </c>
    </row>
    <row r="12" spans="1:19" ht="15">
      <c r="A12" s="222"/>
      <c r="B12" s="239">
        <v>5</v>
      </c>
      <c r="C12" s="264" t="s">
        <v>803</v>
      </c>
      <c r="D12" s="270" t="s">
        <v>800</v>
      </c>
      <c r="E12" s="273" t="s">
        <v>802</v>
      </c>
      <c r="F12" s="273" t="s">
        <v>796</v>
      </c>
      <c r="G12" s="270"/>
      <c r="H12" s="270" t="s">
        <v>794</v>
      </c>
      <c r="I12" s="328">
        <v>600000</v>
      </c>
      <c r="J12" s="247">
        <v>0</v>
      </c>
      <c r="K12" s="247">
        <v>600000</v>
      </c>
      <c r="L12" s="247">
        <v>230350</v>
      </c>
      <c r="M12" s="247">
        <v>-369650</v>
      </c>
      <c r="N12" s="255"/>
      <c r="O12" s="341">
        <v>250000</v>
      </c>
      <c r="P12" s="342" t="s">
        <v>946</v>
      </c>
      <c r="Q12" s="307">
        <v>4</v>
      </c>
      <c r="R12" s="344">
        <f>O12/S12/12*Q12</f>
        <v>2777.7777777777778</v>
      </c>
      <c r="S12" s="300">
        <v>30</v>
      </c>
    </row>
    <row r="13" spans="1:19" ht="15">
      <c r="A13" s="222"/>
      <c r="B13" s="239">
        <v>6</v>
      </c>
      <c r="C13" s="264" t="s">
        <v>804</v>
      </c>
      <c r="D13" s="270" t="s">
        <v>802</v>
      </c>
      <c r="E13" s="273" t="s">
        <v>805</v>
      </c>
      <c r="F13" s="273" t="s">
        <v>805</v>
      </c>
      <c r="G13" s="270"/>
      <c r="H13" s="270" t="s">
        <v>794</v>
      </c>
      <c r="I13" s="329">
        <v>1000000</v>
      </c>
      <c r="J13" s="247">
        <v>0</v>
      </c>
      <c r="K13" s="247">
        <v>1000000</v>
      </c>
      <c r="L13" s="247"/>
      <c r="M13" s="247">
        <v>-1000000</v>
      </c>
      <c r="N13" s="255"/>
      <c r="P13" s="339">
        <v>2023</v>
      </c>
      <c r="Q13" s="340"/>
      <c r="R13" s="344"/>
    </row>
    <row r="14" spans="1:19" ht="15">
      <c r="A14" s="222"/>
      <c r="B14" s="239">
        <v>7</v>
      </c>
      <c r="C14" s="245" t="s">
        <v>806</v>
      </c>
      <c r="D14" s="270" t="s">
        <v>797</v>
      </c>
      <c r="E14" s="273" t="s">
        <v>807</v>
      </c>
      <c r="F14" s="273" t="s">
        <v>807</v>
      </c>
      <c r="G14" s="270"/>
      <c r="H14" s="270" t="s">
        <v>794</v>
      </c>
      <c r="I14" s="329">
        <v>150000</v>
      </c>
      <c r="J14" s="247">
        <v>0</v>
      </c>
      <c r="K14" s="247">
        <v>150000</v>
      </c>
      <c r="L14" s="247"/>
      <c r="M14" s="247">
        <v>-150000</v>
      </c>
      <c r="N14" s="255"/>
      <c r="P14" s="339" t="s">
        <v>947</v>
      </c>
      <c r="Q14" s="340"/>
      <c r="R14" s="344"/>
    </row>
    <row r="15" spans="1:19" ht="15">
      <c r="A15" s="222"/>
      <c r="B15" s="239">
        <v>8</v>
      </c>
      <c r="C15" s="245" t="s">
        <v>808</v>
      </c>
      <c r="D15" s="270" t="s">
        <v>796</v>
      </c>
      <c r="E15" s="273" t="s">
        <v>796</v>
      </c>
      <c r="F15" s="273" t="s">
        <v>797</v>
      </c>
      <c r="G15" s="270"/>
      <c r="H15" s="270" t="s">
        <v>794</v>
      </c>
      <c r="I15" s="328">
        <v>800000</v>
      </c>
      <c r="J15" s="247">
        <v>0</v>
      </c>
      <c r="K15" s="247">
        <v>800000</v>
      </c>
      <c r="L15" s="247"/>
      <c r="M15" s="247">
        <v>-800000</v>
      </c>
      <c r="N15" s="255"/>
      <c r="O15" s="345">
        <f>I15</f>
        <v>800000</v>
      </c>
      <c r="P15" s="342" t="s">
        <v>797</v>
      </c>
      <c r="Q15" s="307">
        <v>2</v>
      </c>
      <c r="R15" s="344">
        <f t="shared" ref="R15:R19" si="1">O15/S15/12*Q15</f>
        <v>4444.4444444444443</v>
      </c>
      <c r="S15">
        <v>30</v>
      </c>
    </row>
    <row r="16" spans="1:19" ht="15">
      <c r="A16" s="222"/>
      <c r="B16" s="239">
        <v>9</v>
      </c>
      <c r="C16" s="245" t="s">
        <v>809</v>
      </c>
      <c r="D16" s="270" t="s">
        <v>800</v>
      </c>
      <c r="E16" s="270" t="s">
        <v>796</v>
      </c>
      <c r="F16" s="270" t="s">
        <v>796</v>
      </c>
      <c r="G16" s="270" t="s">
        <v>794</v>
      </c>
      <c r="H16" s="270" t="s">
        <v>794</v>
      </c>
      <c r="I16" s="328">
        <v>500000</v>
      </c>
      <c r="J16" s="247">
        <v>0</v>
      </c>
      <c r="K16" s="247">
        <v>500000</v>
      </c>
      <c r="L16" s="244">
        <v>683461</v>
      </c>
      <c r="M16" s="247">
        <v>183461</v>
      </c>
      <c r="N16" s="255"/>
      <c r="O16" s="341">
        <v>800000</v>
      </c>
      <c r="P16" s="342" t="s">
        <v>948</v>
      </c>
      <c r="Q16" s="307">
        <v>3</v>
      </c>
      <c r="R16" s="344">
        <f t="shared" si="1"/>
        <v>6666.6666666666661</v>
      </c>
      <c r="S16">
        <v>30</v>
      </c>
    </row>
    <row r="17" spans="1:19" ht="15">
      <c r="A17" s="222"/>
      <c r="B17" s="239">
        <v>10</v>
      </c>
      <c r="C17" s="245" t="s">
        <v>810</v>
      </c>
      <c r="D17" s="270" t="s">
        <v>811</v>
      </c>
      <c r="E17" s="270" t="s">
        <v>797</v>
      </c>
      <c r="F17" s="270" t="s">
        <v>807</v>
      </c>
      <c r="G17" s="270" t="s">
        <v>794</v>
      </c>
      <c r="H17" s="270" t="s">
        <v>794</v>
      </c>
      <c r="I17" s="328">
        <v>100000</v>
      </c>
      <c r="J17" s="247">
        <v>0</v>
      </c>
      <c r="K17" s="247">
        <v>100000</v>
      </c>
      <c r="L17" s="247"/>
      <c r="M17" s="247">
        <v>-100000</v>
      </c>
      <c r="N17" s="255"/>
      <c r="O17" s="341">
        <v>250000</v>
      </c>
      <c r="P17" s="342" t="s">
        <v>949</v>
      </c>
      <c r="Q17" s="307">
        <v>3</v>
      </c>
      <c r="R17" s="344">
        <f t="shared" si="1"/>
        <v>2083.3333333333335</v>
      </c>
      <c r="S17">
        <v>30</v>
      </c>
    </row>
    <row r="18" spans="1:19" ht="15">
      <c r="A18" s="222"/>
      <c r="B18" s="239">
        <v>11</v>
      </c>
      <c r="C18" s="245" t="s">
        <v>812</v>
      </c>
      <c r="D18" s="270" t="s">
        <v>813</v>
      </c>
      <c r="E18" s="270" t="s">
        <v>814</v>
      </c>
      <c r="F18" s="270"/>
      <c r="G18" s="270"/>
      <c r="H18" s="270" t="s">
        <v>794</v>
      </c>
      <c r="I18" s="329">
        <v>200000</v>
      </c>
      <c r="J18" s="247">
        <v>0</v>
      </c>
      <c r="K18" s="247">
        <v>200000</v>
      </c>
      <c r="L18" s="247"/>
      <c r="M18" s="247">
        <v>-200000</v>
      </c>
      <c r="N18" s="255"/>
      <c r="P18" s="339" t="s">
        <v>950</v>
      </c>
      <c r="Q18" s="340"/>
      <c r="R18" s="344"/>
    </row>
    <row r="19" spans="1:19" ht="15">
      <c r="A19" s="222"/>
      <c r="B19" s="239">
        <v>12</v>
      </c>
      <c r="C19" s="245" t="s">
        <v>815</v>
      </c>
      <c r="D19" s="270" t="s">
        <v>816</v>
      </c>
      <c r="E19" s="270" t="s">
        <v>797</v>
      </c>
      <c r="F19" s="270" t="s">
        <v>807</v>
      </c>
      <c r="G19" s="270"/>
      <c r="H19" s="270" t="s">
        <v>794</v>
      </c>
      <c r="I19" s="328">
        <v>90000</v>
      </c>
      <c r="J19" s="247">
        <v>0</v>
      </c>
      <c r="K19" s="247">
        <v>90000</v>
      </c>
      <c r="L19" s="247"/>
      <c r="M19" s="247">
        <v>-90000</v>
      </c>
      <c r="N19" s="255"/>
      <c r="O19" s="345">
        <f>I19</f>
        <v>90000</v>
      </c>
      <c r="P19" s="342" t="s">
        <v>949</v>
      </c>
      <c r="Q19" s="307">
        <v>3</v>
      </c>
      <c r="R19" s="344">
        <f t="shared" si="1"/>
        <v>750</v>
      </c>
      <c r="S19">
        <v>30</v>
      </c>
    </row>
    <row r="20" spans="1:19" ht="15.75" thickBot="1">
      <c r="A20" s="222"/>
      <c r="B20" s="253"/>
      <c r="C20" s="277" t="s">
        <v>817</v>
      </c>
      <c r="D20" s="277"/>
      <c r="E20" s="277"/>
      <c r="F20" s="277"/>
      <c r="G20" s="277"/>
      <c r="H20" s="277"/>
      <c r="I20" s="330">
        <v>26600000</v>
      </c>
      <c r="J20" s="274">
        <v>10800000</v>
      </c>
      <c r="K20" s="274">
        <v>15800000</v>
      </c>
      <c r="L20" s="274">
        <v>2629798</v>
      </c>
      <c r="M20" s="254">
        <v>-23970202</v>
      </c>
      <c r="N20" s="255"/>
      <c r="P20" s="338"/>
      <c r="R20" s="344"/>
      <c r="S20" s="300"/>
    </row>
    <row r="21" spans="1:19" ht="15.75" thickTop="1">
      <c r="A21" s="222"/>
      <c r="B21" s="239"/>
      <c r="C21" s="278"/>
      <c r="D21" s="278"/>
      <c r="E21" s="278"/>
      <c r="F21" s="278"/>
      <c r="G21" s="278"/>
      <c r="H21" s="278"/>
      <c r="I21" s="331"/>
      <c r="J21" s="280"/>
      <c r="K21" s="279"/>
      <c r="L21" s="280"/>
      <c r="M21" s="249"/>
      <c r="N21" s="255"/>
      <c r="P21" s="338"/>
      <c r="R21" s="344"/>
      <c r="S21" s="300"/>
    </row>
    <row r="22" spans="1:19" ht="15">
      <c r="A22" s="222"/>
      <c r="B22" s="239"/>
      <c r="C22" s="278" t="s">
        <v>818</v>
      </c>
      <c r="D22" s="278"/>
      <c r="E22" s="278"/>
      <c r="F22" s="278"/>
      <c r="G22" s="278"/>
      <c r="H22" s="278"/>
      <c r="I22" s="332"/>
      <c r="J22" s="247"/>
      <c r="K22" s="250"/>
      <c r="L22" s="247"/>
      <c r="M22" s="281"/>
      <c r="N22" s="255"/>
      <c r="P22" s="338"/>
      <c r="R22" s="344"/>
      <c r="S22" s="300"/>
    </row>
    <row r="23" spans="1:19" ht="15">
      <c r="A23" s="222"/>
      <c r="B23" s="263">
        <v>1</v>
      </c>
      <c r="C23" s="264" t="s">
        <v>819</v>
      </c>
      <c r="D23" s="270" t="s">
        <v>805</v>
      </c>
      <c r="E23" s="270" t="s">
        <v>820</v>
      </c>
      <c r="F23" s="270" t="s">
        <v>820</v>
      </c>
      <c r="G23" s="270"/>
      <c r="H23" s="270" t="s">
        <v>794</v>
      </c>
      <c r="I23" s="326">
        <v>550000</v>
      </c>
      <c r="J23" s="247">
        <v>0</v>
      </c>
      <c r="K23" s="247">
        <v>550000</v>
      </c>
      <c r="L23" s="247"/>
      <c r="M23" s="247">
        <v>-550000</v>
      </c>
      <c r="N23" s="255"/>
      <c r="P23" s="339" t="s">
        <v>947</v>
      </c>
      <c r="R23" s="344"/>
      <c r="S23" s="300"/>
    </row>
    <row r="24" spans="1:19" ht="15">
      <c r="A24" s="222"/>
      <c r="B24" s="239">
        <v>2</v>
      </c>
      <c r="C24" s="245" t="s">
        <v>821</v>
      </c>
      <c r="D24" s="270" t="s">
        <v>805</v>
      </c>
      <c r="E24" s="270" t="s">
        <v>820</v>
      </c>
      <c r="F24" s="270" t="s">
        <v>820</v>
      </c>
      <c r="G24" s="245"/>
      <c r="H24" s="270" t="s">
        <v>794</v>
      </c>
      <c r="I24" s="333">
        <v>2000000</v>
      </c>
      <c r="J24" s="247">
        <v>0</v>
      </c>
      <c r="K24" s="247">
        <v>2000000</v>
      </c>
      <c r="L24" s="247"/>
      <c r="M24" s="247">
        <v>-2000000</v>
      </c>
      <c r="N24" s="255"/>
      <c r="P24" s="339" t="s">
        <v>947</v>
      </c>
      <c r="R24" s="344"/>
      <c r="S24" s="300"/>
    </row>
    <row r="25" spans="1:19" ht="15">
      <c r="A25" s="222"/>
      <c r="B25" s="194">
        <v>3</v>
      </c>
      <c r="C25" s="237" t="s">
        <v>822</v>
      </c>
      <c r="D25" s="298" t="s">
        <v>802</v>
      </c>
      <c r="E25" s="298" t="s">
        <v>802</v>
      </c>
      <c r="F25" s="298" t="s">
        <v>805</v>
      </c>
      <c r="G25" s="237"/>
      <c r="H25" s="298" t="s">
        <v>794</v>
      </c>
      <c r="I25" s="238">
        <v>60000</v>
      </c>
      <c r="J25" s="299">
        <v>0</v>
      </c>
      <c r="K25" s="299">
        <v>60000</v>
      </c>
      <c r="L25" s="299">
        <v>58351</v>
      </c>
      <c r="M25" s="299">
        <v>-1649</v>
      </c>
      <c r="N25" s="255"/>
      <c r="P25" s="338"/>
      <c r="R25" s="344"/>
      <c r="S25" s="300"/>
    </row>
    <row r="26" spans="1:19" ht="15.75" thickBot="1">
      <c r="A26" s="222"/>
      <c r="B26" s="253"/>
      <c r="C26" s="277" t="s">
        <v>823</v>
      </c>
      <c r="D26" s="277"/>
      <c r="E26" s="277"/>
      <c r="F26" s="277"/>
      <c r="G26" s="277"/>
      <c r="H26" s="277"/>
      <c r="I26" s="282">
        <v>2550000</v>
      </c>
      <c r="J26" s="274">
        <v>0</v>
      </c>
      <c r="K26" s="274">
        <v>2550000</v>
      </c>
      <c r="L26" s="274">
        <v>0</v>
      </c>
      <c r="M26" s="254">
        <v>-2550000</v>
      </c>
      <c r="N26" s="255"/>
      <c r="P26" s="338"/>
      <c r="R26" s="344"/>
      <c r="S26" s="300"/>
    </row>
    <row r="27" spans="1:19" ht="15.75" thickTop="1">
      <c r="A27" s="222"/>
      <c r="B27" s="239"/>
      <c r="C27" s="278"/>
      <c r="D27" s="278"/>
      <c r="E27" s="278"/>
      <c r="F27" s="278"/>
      <c r="G27" s="278"/>
      <c r="H27" s="278"/>
      <c r="I27" s="250"/>
      <c r="J27" s="247"/>
      <c r="K27" s="250"/>
      <c r="L27" s="247"/>
      <c r="M27" s="281"/>
      <c r="N27" s="255"/>
      <c r="P27" s="338"/>
      <c r="R27" s="344"/>
      <c r="S27" s="300"/>
    </row>
    <row r="28" spans="1:19" ht="15">
      <c r="A28" s="222"/>
      <c r="B28" s="239"/>
      <c r="C28" s="278" t="s">
        <v>824</v>
      </c>
      <c r="D28" s="278"/>
      <c r="E28" s="278"/>
      <c r="F28" s="278"/>
      <c r="G28" s="278"/>
      <c r="H28" s="278"/>
      <c r="I28" s="271"/>
      <c r="J28" s="271"/>
      <c r="K28" s="250"/>
      <c r="L28" s="271"/>
      <c r="M28" s="281"/>
      <c r="N28" s="255"/>
      <c r="P28" s="338"/>
      <c r="R28" s="344"/>
      <c r="S28" s="300"/>
    </row>
    <row r="29" spans="1:19" ht="15">
      <c r="A29" s="222"/>
      <c r="B29" s="239">
        <v>1</v>
      </c>
      <c r="C29" s="264" t="s">
        <v>825</v>
      </c>
      <c r="D29" s="295" t="s">
        <v>814</v>
      </c>
      <c r="E29" s="295"/>
      <c r="F29" s="295"/>
      <c r="G29" s="295"/>
      <c r="H29" s="295" t="s">
        <v>826</v>
      </c>
      <c r="I29" s="334">
        <v>1000000</v>
      </c>
      <c r="J29" s="275">
        <v>850000</v>
      </c>
      <c r="K29" s="275">
        <v>150000</v>
      </c>
      <c r="L29" s="296"/>
      <c r="M29" s="275">
        <v>-1000000</v>
      </c>
      <c r="N29" s="255"/>
      <c r="P29" s="339" t="s">
        <v>951</v>
      </c>
      <c r="R29" s="344"/>
      <c r="S29" s="300"/>
    </row>
    <row r="30" spans="1:19" ht="15">
      <c r="A30" s="222"/>
      <c r="B30" s="239">
        <v>2</v>
      </c>
      <c r="C30" s="245" t="s">
        <v>827</v>
      </c>
      <c r="D30" s="270" t="s">
        <v>828</v>
      </c>
      <c r="E30" s="270" t="s">
        <v>828</v>
      </c>
      <c r="F30" s="270" t="s">
        <v>828</v>
      </c>
      <c r="G30" s="270" t="s">
        <v>829</v>
      </c>
      <c r="H30" s="278"/>
      <c r="I30" s="334">
        <v>200000</v>
      </c>
      <c r="J30" s="271">
        <v>0</v>
      </c>
      <c r="K30" s="247">
        <v>200000</v>
      </c>
      <c r="L30" s="271"/>
      <c r="M30" s="247">
        <v>-200000</v>
      </c>
      <c r="N30" s="255"/>
      <c r="P30" s="339" t="s">
        <v>951</v>
      </c>
      <c r="R30" s="344"/>
      <c r="S30" s="300"/>
    </row>
    <row r="31" spans="1:19" ht="15">
      <c r="A31" s="222"/>
      <c r="B31" s="239">
        <v>3</v>
      </c>
      <c r="C31" s="243" t="s">
        <v>830</v>
      </c>
      <c r="D31" s="272" t="s">
        <v>831</v>
      </c>
      <c r="E31" s="272"/>
      <c r="F31" s="272"/>
      <c r="G31" s="272"/>
      <c r="H31" s="297"/>
      <c r="I31" s="335">
        <v>2000000</v>
      </c>
      <c r="J31" s="247">
        <v>1700000</v>
      </c>
      <c r="K31" s="283">
        <v>300000</v>
      </c>
      <c r="L31" s="271"/>
      <c r="M31" s="247"/>
      <c r="N31" s="255"/>
      <c r="P31" s="339" t="s">
        <v>947</v>
      </c>
      <c r="R31" s="344"/>
      <c r="S31" s="300"/>
    </row>
    <row r="32" spans="1:19" ht="15">
      <c r="A32" s="222"/>
      <c r="B32" s="239">
        <v>4</v>
      </c>
      <c r="C32" s="245" t="s">
        <v>832</v>
      </c>
      <c r="D32" s="270"/>
      <c r="E32" s="270"/>
      <c r="F32" s="270"/>
      <c r="G32" s="270" t="s">
        <v>829</v>
      </c>
      <c r="H32" s="270" t="s">
        <v>829</v>
      </c>
      <c r="I32" s="334">
        <v>1000000</v>
      </c>
      <c r="J32" s="271">
        <v>0</v>
      </c>
      <c r="K32" s="247">
        <v>1000000</v>
      </c>
      <c r="L32" s="271"/>
      <c r="M32" s="247">
        <v>-1000000</v>
      </c>
      <c r="N32" s="255"/>
      <c r="P32" s="339" t="s">
        <v>952</v>
      </c>
      <c r="R32" s="344"/>
      <c r="S32" s="300"/>
    </row>
    <row r="33" spans="1:19" ht="15">
      <c r="A33" s="222"/>
      <c r="B33" s="263">
        <v>5</v>
      </c>
      <c r="C33" s="245" t="s">
        <v>833</v>
      </c>
      <c r="D33" s="270" t="s">
        <v>834</v>
      </c>
      <c r="E33" s="270"/>
      <c r="F33" s="270"/>
      <c r="G33" s="270"/>
      <c r="H33" s="270"/>
      <c r="I33" s="334">
        <v>80000</v>
      </c>
      <c r="J33" s="247">
        <v>68000</v>
      </c>
      <c r="K33" s="283">
        <v>12000</v>
      </c>
      <c r="L33" s="271"/>
      <c r="M33" s="293"/>
      <c r="N33" s="255"/>
      <c r="P33" s="339" t="s">
        <v>947</v>
      </c>
      <c r="R33" s="344"/>
      <c r="S33" s="300"/>
    </row>
    <row r="34" spans="1:19" ht="15">
      <c r="A34" s="222"/>
      <c r="B34" s="263">
        <v>6</v>
      </c>
      <c r="C34" s="245" t="s">
        <v>835</v>
      </c>
      <c r="D34" s="270" t="s">
        <v>793</v>
      </c>
      <c r="E34" s="270"/>
      <c r="F34" s="270"/>
      <c r="G34" s="270"/>
      <c r="H34" s="270"/>
      <c r="I34" s="334">
        <v>170000</v>
      </c>
      <c r="J34" s="247">
        <v>144500</v>
      </c>
      <c r="K34" s="283">
        <v>25500</v>
      </c>
      <c r="L34" s="271"/>
      <c r="M34" s="293"/>
      <c r="N34" s="255"/>
      <c r="P34" s="339" t="s">
        <v>947</v>
      </c>
      <c r="R34" s="344"/>
      <c r="S34" s="300"/>
    </row>
    <row r="35" spans="1:19" ht="15">
      <c r="A35" s="222"/>
      <c r="B35" s="263">
        <v>7</v>
      </c>
      <c r="C35" s="243" t="s">
        <v>836</v>
      </c>
      <c r="D35" s="272" t="s">
        <v>793</v>
      </c>
      <c r="E35" s="272" t="s">
        <v>793</v>
      </c>
      <c r="F35" s="272"/>
      <c r="G35" s="272"/>
      <c r="H35" s="272"/>
      <c r="I35" s="335">
        <v>50000</v>
      </c>
      <c r="J35" s="247"/>
      <c r="K35" s="283"/>
      <c r="L35" s="271"/>
      <c r="M35" s="293"/>
      <c r="N35" s="255"/>
      <c r="P35" s="339" t="s">
        <v>947</v>
      </c>
      <c r="R35" s="344"/>
      <c r="S35" s="300"/>
    </row>
    <row r="36" spans="1:19" ht="15">
      <c r="A36" s="222"/>
      <c r="B36" s="263">
        <v>8</v>
      </c>
      <c r="C36" s="245" t="s">
        <v>837</v>
      </c>
      <c r="D36" s="270" t="s">
        <v>797</v>
      </c>
      <c r="E36" s="270" t="s">
        <v>820</v>
      </c>
      <c r="F36" s="270" t="s">
        <v>820</v>
      </c>
      <c r="G36" s="270"/>
      <c r="H36" s="270" t="s">
        <v>829</v>
      </c>
      <c r="I36" s="334">
        <v>900000</v>
      </c>
      <c r="J36" s="247">
        <v>0</v>
      </c>
      <c r="K36" s="283">
        <v>900000</v>
      </c>
      <c r="L36" s="271"/>
      <c r="M36" s="293"/>
      <c r="N36" s="255"/>
      <c r="P36" s="339" t="s">
        <v>947</v>
      </c>
      <c r="R36" s="344"/>
      <c r="S36" s="300"/>
    </row>
    <row r="37" spans="1:19" ht="15.75" thickBot="1">
      <c r="A37" s="222"/>
      <c r="B37" s="253"/>
      <c r="C37" s="277" t="s">
        <v>838</v>
      </c>
      <c r="D37" s="277"/>
      <c r="E37" s="277"/>
      <c r="F37" s="277"/>
      <c r="G37" s="277"/>
      <c r="H37" s="277"/>
      <c r="I37" s="282">
        <v>5400000</v>
      </c>
      <c r="J37" s="274">
        <v>2762500</v>
      </c>
      <c r="K37" s="274">
        <v>1650000</v>
      </c>
      <c r="L37" s="274">
        <v>0</v>
      </c>
      <c r="M37" s="254">
        <v>-2200000</v>
      </c>
      <c r="N37" s="255"/>
      <c r="P37" s="338"/>
      <c r="R37" s="344"/>
      <c r="S37" s="300"/>
    </row>
    <row r="38" spans="1:19" ht="16.5" thickTop="1" thickBot="1">
      <c r="A38" s="222"/>
      <c r="B38" s="253"/>
      <c r="C38" s="277" t="s">
        <v>839</v>
      </c>
      <c r="D38" s="277"/>
      <c r="E38" s="277"/>
      <c r="F38" s="277"/>
      <c r="G38" s="277"/>
      <c r="H38" s="277"/>
      <c r="I38" s="282">
        <v>34550000</v>
      </c>
      <c r="J38" s="294">
        <v>13562500</v>
      </c>
      <c r="K38" s="274">
        <v>20000000</v>
      </c>
      <c r="L38" s="274">
        <v>2629798</v>
      </c>
      <c r="M38" s="254">
        <v>-28720202</v>
      </c>
      <c r="N38" s="255"/>
      <c r="P38" s="338"/>
      <c r="R38" s="344"/>
      <c r="S38" s="300"/>
    </row>
    <row r="39" spans="1:19" ht="15.75" thickTop="1">
      <c r="A39" s="222"/>
      <c r="B39" s="239"/>
      <c r="C39" s="278"/>
      <c r="D39" s="278"/>
      <c r="E39" s="278"/>
      <c r="F39" s="278"/>
      <c r="G39" s="278"/>
      <c r="H39" s="278"/>
      <c r="I39" s="250"/>
      <c r="J39" s="247"/>
      <c r="K39" s="250"/>
      <c r="L39" s="247"/>
      <c r="M39" s="247"/>
      <c r="N39" s="255"/>
      <c r="P39" s="338"/>
      <c r="R39" s="344"/>
      <c r="S39" s="300"/>
    </row>
    <row r="40" spans="1:19" ht="15">
      <c r="A40" s="222"/>
      <c r="B40" s="239"/>
      <c r="C40" s="278" t="s">
        <v>840</v>
      </c>
      <c r="D40" s="278"/>
      <c r="E40" s="278"/>
      <c r="F40" s="278"/>
      <c r="G40" s="278"/>
      <c r="H40" s="278"/>
      <c r="I40" s="250"/>
      <c r="J40" s="247"/>
      <c r="K40" s="250"/>
      <c r="L40" s="247"/>
      <c r="M40" s="247"/>
      <c r="N40" s="255"/>
      <c r="P40" s="338"/>
      <c r="R40" s="344"/>
      <c r="S40" s="300"/>
    </row>
    <row r="41" spans="1:19" ht="15">
      <c r="A41" s="222"/>
      <c r="B41" s="239">
        <v>1</v>
      </c>
      <c r="C41" s="245" t="s">
        <v>841</v>
      </c>
      <c r="D41" s="270" t="s">
        <v>842</v>
      </c>
      <c r="E41" s="270"/>
      <c r="F41" s="270" t="s">
        <v>843</v>
      </c>
      <c r="G41" s="270" t="s">
        <v>844</v>
      </c>
      <c r="H41" s="270" t="s">
        <v>794</v>
      </c>
      <c r="I41" s="337">
        <v>18000000</v>
      </c>
      <c r="J41" s="247">
        <v>15300000</v>
      </c>
      <c r="K41" s="283">
        <v>2700000</v>
      </c>
      <c r="L41" s="247"/>
      <c r="M41" s="247">
        <v>-18000000</v>
      </c>
      <c r="N41" s="255"/>
      <c r="O41" s="346">
        <f>I41</f>
        <v>18000000</v>
      </c>
      <c r="P41" s="342" t="s">
        <v>793</v>
      </c>
      <c r="Q41" s="307">
        <v>0</v>
      </c>
      <c r="R41" s="344">
        <f t="shared" ref="R41" si="2">O41/S41/12*Q41</f>
        <v>0</v>
      </c>
      <c r="S41" s="300">
        <v>30</v>
      </c>
    </row>
    <row r="42" spans="1:19" ht="15">
      <c r="A42" s="222"/>
      <c r="B42" s="239">
        <v>2</v>
      </c>
      <c r="C42" s="245" t="s">
        <v>845</v>
      </c>
      <c r="D42" s="270" t="s">
        <v>846</v>
      </c>
      <c r="E42" s="270" t="s">
        <v>847</v>
      </c>
      <c r="F42" s="270" t="s">
        <v>847</v>
      </c>
      <c r="G42" s="270"/>
      <c r="H42" s="270" t="s">
        <v>829</v>
      </c>
      <c r="I42" s="336">
        <v>26280000</v>
      </c>
      <c r="J42" s="247">
        <v>22338000</v>
      </c>
      <c r="K42" s="283">
        <v>3942000</v>
      </c>
      <c r="L42" s="247"/>
      <c r="M42" s="247">
        <v>-26280000</v>
      </c>
      <c r="N42" s="255"/>
      <c r="P42" s="339" t="s">
        <v>947</v>
      </c>
    </row>
    <row r="43" spans="1:19" ht="15">
      <c r="A43" s="222"/>
      <c r="B43" s="239"/>
      <c r="C43" s="245"/>
      <c r="D43" s="270"/>
      <c r="E43" s="270"/>
      <c r="F43" s="270"/>
      <c r="G43" s="270"/>
      <c r="H43" s="270"/>
      <c r="I43" s="250"/>
      <c r="J43" s="247"/>
      <c r="K43" s="250"/>
      <c r="L43" s="247"/>
      <c r="M43" s="247"/>
      <c r="N43" s="255"/>
      <c r="P43" s="338"/>
    </row>
    <row r="44" spans="1:19" ht="15.75" thickBot="1">
      <c r="A44" s="222"/>
      <c r="B44" s="253"/>
      <c r="C44" s="277" t="s">
        <v>848</v>
      </c>
      <c r="D44" s="277"/>
      <c r="E44" s="277"/>
      <c r="F44" s="277"/>
      <c r="G44" s="277"/>
      <c r="H44" s="277"/>
      <c r="I44" s="274">
        <v>44280000</v>
      </c>
      <c r="J44" s="274">
        <v>37638000</v>
      </c>
      <c r="K44" s="274">
        <v>6642000</v>
      </c>
      <c r="L44" s="274">
        <v>0</v>
      </c>
      <c r="M44" s="254">
        <v>-44280000</v>
      </c>
      <c r="N44" s="255"/>
      <c r="O44" s="254">
        <f>SUM(O8:O43)</f>
        <v>28440000</v>
      </c>
      <c r="P44" s="254"/>
      <c r="Q44" s="254"/>
      <c r="R44" s="254">
        <f>SUM(R8:R43)</f>
        <v>19499.999999999996</v>
      </c>
    </row>
    <row r="45" spans="1:19" ht="16.5" thickTop="1" thickBot="1">
      <c r="A45" s="222"/>
      <c r="B45" s="256"/>
      <c r="C45" s="284"/>
      <c r="D45" s="284"/>
      <c r="E45" s="284"/>
      <c r="F45" s="284"/>
      <c r="G45" s="284"/>
      <c r="H45" s="284"/>
      <c r="I45" s="285"/>
      <c r="J45" s="286"/>
      <c r="K45" s="285"/>
      <c r="L45" s="286"/>
      <c r="M45" s="257"/>
      <c r="N45" s="255"/>
      <c r="P45" s="338"/>
    </row>
    <row r="46" spans="1:19" ht="17.25" thickTop="1" thickBot="1">
      <c r="A46" s="222"/>
      <c r="B46" s="252"/>
      <c r="C46" s="287" t="s">
        <v>849</v>
      </c>
      <c r="D46" s="287"/>
      <c r="E46" s="287"/>
      <c r="F46" s="287"/>
      <c r="G46" s="287"/>
      <c r="H46" s="287"/>
      <c r="I46" s="288">
        <v>78830000</v>
      </c>
      <c r="J46" s="288">
        <v>51200500</v>
      </c>
      <c r="K46" s="290">
        <v>26642000</v>
      </c>
      <c r="L46" s="289">
        <v>2629798</v>
      </c>
      <c r="M46" s="262">
        <v>-76200202</v>
      </c>
      <c r="N46" s="255"/>
      <c r="P46" s="338"/>
    </row>
    <row r="47" spans="1:19" ht="16.5" thickTop="1" thickBot="1">
      <c r="A47" s="222"/>
      <c r="B47" s="258"/>
      <c r="C47" s="291" t="s">
        <v>850</v>
      </c>
      <c r="D47" s="291"/>
      <c r="E47" s="291"/>
      <c r="F47" s="291"/>
      <c r="G47" s="291"/>
      <c r="H47" s="291"/>
      <c r="I47" s="288">
        <v>95384300</v>
      </c>
      <c r="J47" s="288">
        <v>61952605</v>
      </c>
      <c r="K47" s="292">
        <v>32236820</v>
      </c>
      <c r="L47" s="288">
        <v>3182055.58</v>
      </c>
      <c r="M47" s="292">
        <v>-92202244.420000002</v>
      </c>
      <c r="N47" s="255"/>
      <c r="P47" s="338"/>
    </row>
    <row r="48" spans="1:19" ht="17.25" thickTop="1" thickBot="1">
      <c r="A48" s="222"/>
      <c r="B48" s="260"/>
      <c r="C48" s="261" t="s">
        <v>851</v>
      </c>
      <c r="D48" s="261"/>
      <c r="E48" s="261"/>
      <c r="F48" s="261"/>
      <c r="G48" s="261"/>
      <c r="H48" s="261"/>
      <c r="I48" s="265"/>
      <c r="J48" s="251"/>
      <c r="K48" s="251"/>
      <c r="L48" s="251"/>
      <c r="M48" s="251"/>
      <c r="N48" s="255"/>
      <c r="P48" s="338"/>
    </row>
    <row r="49" spans="1:16" ht="15.75" thickTop="1">
      <c r="A49" s="222"/>
      <c r="B49" s="222"/>
      <c r="C49" s="242"/>
      <c r="D49" s="242"/>
      <c r="E49" s="242"/>
      <c r="F49" s="242"/>
      <c r="G49" s="242"/>
      <c r="H49" s="242"/>
      <c r="I49" s="222"/>
      <c r="J49" s="222"/>
      <c r="K49" s="222"/>
      <c r="L49" s="222"/>
      <c r="M49" s="222"/>
      <c r="N49" s="255"/>
      <c r="P49" s="338"/>
    </row>
    <row r="50" spans="1:16" ht="15">
      <c r="A50" s="222"/>
      <c r="B50" s="222"/>
      <c r="C50" s="239" t="s">
        <v>852</v>
      </c>
      <c r="D50" s="239"/>
      <c r="E50" s="239"/>
      <c r="F50" s="239"/>
      <c r="G50" s="239"/>
      <c r="H50" s="239"/>
      <c r="I50" s="222"/>
      <c r="J50" s="222"/>
      <c r="K50" s="222"/>
      <c r="L50" s="222"/>
      <c r="M50" s="222"/>
      <c r="N50" s="255"/>
    </row>
    <row r="51" spans="1:16" ht="15">
      <c r="A51" s="222"/>
      <c r="B51" s="222"/>
      <c r="C51" s="239" t="s">
        <v>853</v>
      </c>
      <c r="D51" s="239"/>
      <c r="E51" s="239"/>
      <c r="F51" s="239"/>
      <c r="G51" s="239"/>
      <c r="H51" s="239"/>
      <c r="I51" s="347">
        <f>O44</f>
        <v>28440000</v>
      </c>
      <c r="J51" s="324" t="s">
        <v>937</v>
      </c>
      <c r="K51" s="324"/>
      <c r="L51" s="324"/>
      <c r="M51" s="222"/>
      <c r="N51" s="255"/>
    </row>
    <row r="52" spans="1:16" s="300" customFormat="1" ht="15">
      <c r="C52" s="312"/>
      <c r="D52" s="312"/>
      <c r="E52" s="312"/>
      <c r="F52" s="312"/>
      <c r="G52" s="312"/>
      <c r="H52" s="312"/>
      <c r="I52" s="347">
        <f>-R44</f>
        <v>-19499.999999999996</v>
      </c>
      <c r="J52" s="324" t="s">
        <v>943</v>
      </c>
      <c r="K52" s="324"/>
      <c r="L52" s="324"/>
      <c r="N52" s="255"/>
    </row>
    <row r="53" spans="1:16" ht="15">
      <c r="I53" s="301">
        <f>'Perspektiva odpisů'!L483</f>
        <v>145669738.80999991</v>
      </c>
      <c r="J53" s="300" t="s">
        <v>859</v>
      </c>
      <c r="K53" s="300"/>
      <c r="N53" s="255"/>
    </row>
    <row r="54" spans="1:16" ht="15">
      <c r="I54" s="301">
        <f>'Perspektiva odpisů'!Y51</f>
        <v>147975.85</v>
      </c>
      <c r="J54" s="300" t="s">
        <v>860</v>
      </c>
      <c r="K54" s="300"/>
      <c r="N54" s="255"/>
    </row>
    <row r="55" spans="1:16" ht="15">
      <c r="I55" s="349">
        <f>-'Perspektiva odpisů'!L442</f>
        <v>-2871456</v>
      </c>
      <c r="J55" s="300" t="s">
        <v>854</v>
      </c>
      <c r="K55" s="300"/>
      <c r="N55" s="255"/>
    </row>
    <row r="56" spans="1:16" ht="15">
      <c r="I56" s="348">
        <f>SUM(I51:I55)</f>
        <v>171366758.65999991</v>
      </c>
      <c r="J56" s="304" t="s">
        <v>858</v>
      </c>
      <c r="K56" s="304"/>
      <c r="L56" s="308"/>
    </row>
    <row r="57" spans="1:16" ht="15">
      <c r="I57" s="302">
        <f>I56/1000</f>
        <v>171366.7586599999</v>
      </c>
      <c r="J57" s="303" t="s">
        <v>857</v>
      </c>
      <c r="K57" s="303"/>
      <c r="L57" s="307"/>
    </row>
  </sheetData>
  <mergeCells count="2">
    <mergeCell ref="D5:F5"/>
    <mergeCell ref="G5:H5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Y484"/>
  <sheetViews>
    <sheetView topLeftCell="A454" zoomScale="70" zoomScaleNormal="70" workbookViewId="0">
      <selection activeCell="M471" sqref="M471"/>
    </sheetView>
  </sheetViews>
  <sheetFormatPr defaultRowHeight="14.25"/>
  <cols>
    <col min="1" max="1" width="16.25" bestFit="1" customWidth="1"/>
    <col min="2" max="2" width="55" bestFit="1" customWidth="1"/>
    <col min="3" max="3" width="4.75" bestFit="1" customWidth="1"/>
    <col min="4" max="4" width="17.25" bestFit="1" customWidth="1"/>
    <col min="5" max="5" width="13.125" bestFit="1" customWidth="1"/>
    <col min="6" max="6" width="13.25" bestFit="1" customWidth="1"/>
    <col min="7" max="7" width="13.75" bestFit="1" customWidth="1"/>
    <col min="8" max="8" width="11.375" bestFit="1" customWidth="1"/>
    <col min="9" max="9" width="14" bestFit="1" customWidth="1"/>
    <col min="10" max="10" width="15.75" bestFit="1" customWidth="1"/>
    <col min="11" max="11" width="13.375" bestFit="1" customWidth="1"/>
    <col min="12" max="12" width="16.5" bestFit="1" customWidth="1"/>
    <col min="13" max="13" width="9.25" bestFit="1" customWidth="1"/>
    <col min="14" max="14" width="16.25" bestFit="1" customWidth="1"/>
    <col min="15" max="15" width="55" bestFit="1" customWidth="1"/>
    <col min="16" max="16" width="4.75" bestFit="1" customWidth="1"/>
    <col min="17" max="17" width="17.25" bestFit="1" customWidth="1"/>
    <col min="18" max="18" width="13.125" bestFit="1" customWidth="1"/>
    <col min="19" max="19" width="13.25" bestFit="1" customWidth="1"/>
    <col min="20" max="20" width="11.25" bestFit="1" customWidth="1"/>
    <col min="21" max="21" width="11.5" bestFit="1" customWidth="1"/>
    <col min="22" max="22" width="14.125" bestFit="1" customWidth="1"/>
    <col min="23" max="23" width="15.75" bestFit="1" customWidth="1"/>
    <col min="24" max="24" width="11.25" bestFit="1" customWidth="1"/>
    <col min="25" max="25" width="16.625" bestFit="1" customWidth="1"/>
  </cols>
  <sheetData>
    <row r="1" spans="1:25" ht="15">
      <c r="A1" s="188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 t="s">
        <v>254</v>
      </c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 t="s">
        <v>254</v>
      </c>
    </row>
    <row r="2" spans="1:25" ht="21">
      <c r="A2" s="188"/>
      <c r="B2" s="189" t="s">
        <v>255</v>
      </c>
      <c r="C2" s="188"/>
      <c r="D2" s="311" t="s">
        <v>861</v>
      </c>
      <c r="E2" s="188"/>
      <c r="F2" s="188"/>
      <c r="G2" s="188"/>
      <c r="H2" s="188"/>
      <c r="I2" s="188"/>
      <c r="J2" s="188"/>
      <c r="K2" s="188"/>
      <c r="L2" s="188"/>
      <c r="N2" s="313"/>
      <c r="O2" s="314" t="s">
        <v>255</v>
      </c>
      <c r="P2" s="313"/>
      <c r="Q2" s="311" t="s">
        <v>936</v>
      </c>
      <c r="R2" s="313"/>
      <c r="S2" s="313"/>
      <c r="T2" s="313"/>
      <c r="U2" s="313"/>
      <c r="V2" s="313"/>
      <c r="W2" s="313"/>
      <c r="X2" s="313"/>
      <c r="Y2" s="313"/>
    </row>
    <row r="3" spans="1:25" ht="15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</row>
    <row r="4" spans="1:25" ht="15.75" thickBot="1">
      <c r="A4" s="188"/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N4" s="313"/>
      <c r="O4" s="313"/>
      <c r="P4" s="313"/>
      <c r="Q4" s="313"/>
      <c r="R4" s="313"/>
      <c r="S4" s="313"/>
      <c r="T4" s="313"/>
      <c r="U4" s="313"/>
      <c r="V4" s="313"/>
      <c r="W4" s="313"/>
      <c r="X4" s="313"/>
      <c r="Y4" s="313"/>
    </row>
    <row r="5" spans="1:25" ht="16.5" thickTop="1" thickBot="1">
      <c r="A5" s="191" t="s">
        <v>256</v>
      </c>
      <c r="B5" s="191" t="s">
        <v>257</v>
      </c>
      <c r="C5" s="191" t="s">
        <v>258</v>
      </c>
      <c r="D5" s="191" t="s">
        <v>259</v>
      </c>
      <c r="E5" s="191" t="s">
        <v>260</v>
      </c>
      <c r="F5" s="191" t="s">
        <v>261</v>
      </c>
      <c r="G5" s="191" t="s">
        <v>262</v>
      </c>
      <c r="H5" s="191" t="s">
        <v>263</v>
      </c>
      <c r="I5" s="191" t="s">
        <v>264</v>
      </c>
      <c r="J5" s="191" t="s">
        <v>265</v>
      </c>
      <c r="K5" s="191" t="s">
        <v>266</v>
      </c>
      <c r="L5" s="191" t="s">
        <v>267</v>
      </c>
      <c r="N5" s="316" t="s">
        <v>256</v>
      </c>
      <c r="O5" s="316" t="s">
        <v>257</v>
      </c>
      <c r="P5" s="316" t="s">
        <v>258</v>
      </c>
      <c r="Q5" s="316" t="s">
        <v>259</v>
      </c>
      <c r="R5" s="316" t="s">
        <v>260</v>
      </c>
      <c r="S5" s="316" t="s">
        <v>261</v>
      </c>
      <c r="T5" s="316" t="s">
        <v>262</v>
      </c>
      <c r="U5" s="316" t="s">
        <v>263</v>
      </c>
      <c r="V5" s="316" t="s">
        <v>264</v>
      </c>
      <c r="W5" s="316" t="s">
        <v>265</v>
      </c>
      <c r="X5" s="316" t="s">
        <v>266</v>
      </c>
      <c r="Y5" s="316" t="s">
        <v>267</v>
      </c>
    </row>
    <row r="6" spans="1:25" ht="15.75" thickTop="1">
      <c r="A6" s="187" t="s">
        <v>268</v>
      </c>
      <c r="B6" s="187" t="s">
        <v>269</v>
      </c>
      <c r="C6" s="187">
        <v>2</v>
      </c>
      <c r="D6" s="187">
        <v>3.3</v>
      </c>
      <c r="E6" s="193">
        <v>31341</v>
      </c>
      <c r="F6" s="187"/>
      <c r="G6" s="187">
        <v>196237</v>
      </c>
      <c r="H6" s="187">
        <v>540</v>
      </c>
      <c r="I6" s="187">
        <v>156414</v>
      </c>
      <c r="J6" s="187">
        <v>6480</v>
      </c>
      <c r="K6" s="187">
        <v>162894</v>
      </c>
      <c r="L6" s="187">
        <v>33343</v>
      </c>
      <c r="N6" s="312" t="s">
        <v>862</v>
      </c>
      <c r="O6" s="312" t="s">
        <v>863</v>
      </c>
      <c r="P6" s="312">
        <v>10</v>
      </c>
      <c r="Q6" s="312">
        <v>28.599999999999998</v>
      </c>
      <c r="R6" s="318">
        <v>34637</v>
      </c>
      <c r="S6" s="312"/>
      <c r="T6" s="312">
        <v>34549</v>
      </c>
      <c r="U6" s="312">
        <v>824</v>
      </c>
      <c r="V6" s="312">
        <v>34549</v>
      </c>
      <c r="W6" s="312">
        <v>0</v>
      </c>
      <c r="X6" s="312">
        <v>34549</v>
      </c>
      <c r="Y6" s="312">
        <v>0</v>
      </c>
    </row>
    <row r="7" spans="1:25" ht="15">
      <c r="A7" s="187" t="s">
        <v>270</v>
      </c>
      <c r="B7" s="187" t="s">
        <v>271</v>
      </c>
      <c r="C7" s="187">
        <v>2</v>
      </c>
      <c r="D7" s="187">
        <v>3.3</v>
      </c>
      <c r="E7" s="193">
        <v>33298</v>
      </c>
      <c r="F7" s="187"/>
      <c r="G7" s="187">
        <v>1461992</v>
      </c>
      <c r="H7" s="187">
        <v>4021</v>
      </c>
      <c r="I7" s="187">
        <v>767373</v>
      </c>
      <c r="J7" s="187">
        <v>48252</v>
      </c>
      <c r="K7" s="187">
        <v>815625</v>
      </c>
      <c r="L7" s="187">
        <v>646367</v>
      </c>
      <c r="N7" s="312" t="s">
        <v>864</v>
      </c>
      <c r="O7" s="312" t="s">
        <v>865</v>
      </c>
      <c r="P7" s="312">
        <v>10</v>
      </c>
      <c r="Q7" s="312">
        <v>28.599999999999998</v>
      </c>
      <c r="R7" s="318">
        <v>36160</v>
      </c>
      <c r="S7" s="318">
        <v>44718</v>
      </c>
      <c r="T7" s="312">
        <v>223198</v>
      </c>
      <c r="U7" s="312">
        <v>5320</v>
      </c>
      <c r="V7" s="312">
        <v>223198</v>
      </c>
      <c r="W7" s="312">
        <v>0</v>
      </c>
      <c r="X7" s="312">
        <v>223198</v>
      </c>
      <c r="Y7" s="312">
        <v>0</v>
      </c>
    </row>
    <row r="8" spans="1:25" ht="15">
      <c r="A8" s="187" t="s">
        <v>272</v>
      </c>
      <c r="B8" s="187" t="s">
        <v>273</v>
      </c>
      <c r="C8" s="187">
        <v>2</v>
      </c>
      <c r="D8" s="187">
        <v>3.3</v>
      </c>
      <c r="E8" s="193">
        <v>33086</v>
      </c>
      <c r="F8" s="187"/>
      <c r="G8" s="187">
        <v>5964956</v>
      </c>
      <c r="H8" s="187">
        <v>16404</v>
      </c>
      <c r="I8" s="187">
        <v>3320131</v>
      </c>
      <c r="J8" s="187">
        <v>196848</v>
      </c>
      <c r="K8" s="187">
        <v>3516979</v>
      </c>
      <c r="L8" s="187">
        <v>2447977</v>
      </c>
      <c r="N8" s="312" t="s">
        <v>866</v>
      </c>
      <c r="O8" s="312" t="s">
        <v>867</v>
      </c>
      <c r="P8" s="312">
        <v>10</v>
      </c>
      <c r="Q8" s="312">
        <v>28.599999999999998</v>
      </c>
      <c r="R8" s="318">
        <v>36160</v>
      </c>
      <c r="S8" s="312"/>
      <c r="T8" s="312">
        <v>88630</v>
      </c>
      <c r="U8" s="312">
        <v>2113</v>
      </c>
      <c r="V8" s="312">
        <v>88630</v>
      </c>
      <c r="W8" s="312">
        <v>0</v>
      </c>
      <c r="X8" s="312">
        <v>88630</v>
      </c>
      <c r="Y8" s="312">
        <v>0</v>
      </c>
    </row>
    <row r="9" spans="1:25" ht="15">
      <c r="A9" s="187" t="s">
        <v>274</v>
      </c>
      <c r="B9" s="187" t="s">
        <v>275</v>
      </c>
      <c r="C9" s="187">
        <v>2</v>
      </c>
      <c r="D9" s="187">
        <v>3.3</v>
      </c>
      <c r="E9" s="193">
        <v>33239</v>
      </c>
      <c r="F9" s="187"/>
      <c r="G9" s="187">
        <v>5346302</v>
      </c>
      <c r="H9" s="187">
        <v>14703</v>
      </c>
      <c r="I9" s="187">
        <v>2819829</v>
      </c>
      <c r="J9" s="187">
        <v>176436</v>
      </c>
      <c r="K9" s="187">
        <v>2996265</v>
      </c>
      <c r="L9" s="187">
        <v>2350037</v>
      </c>
      <c r="N9" s="312" t="s">
        <v>868</v>
      </c>
      <c r="O9" s="312" t="s">
        <v>869</v>
      </c>
      <c r="P9" s="312">
        <v>10</v>
      </c>
      <c r="Q9" s="312">
        <v>28.599999999999998</v>
      </c>
      <c r="R9" s="318">
        <v>36160</v>
      </c>
      <c r="S9" s="312"/>
      <c r="T9" s="312">
        <v>40380</v>
      </c>
      <c r="U9" s="312">
        <v>963</v>
      </c>
      <c r="V9" s="312">
        <v>40380</v>
      </c>
      <c r="W9" s="312">
        <v>0</v>
      </c>
      <c r="X9" s="312">
        <v>40380</v>
      </c>
      <c r="Y9" s="312">
        <v>0</v>
      </c>
    </row>
    <row r="10" spans="1:25" ht="15">
      <c r="A10" s="187" t="s">
        <v>276</v>
      </c>
      <c r="B10" s="187" t="s">
        <v>277</v>
      </c>
      <c r="C10" s="187">
        <v>2</v>
      </c>
      <c r="D10" s="187">
        <v>3.3</v>
      </c>
      <c r="E10" s="193">
        <v>32874</v>
      </c>
      <c r="F10" s="187"/>
      <c r="G10" s="187">
        <v>213323</v>
      </c>
      <c r="H10" s="187">
        <v>587</v>
      </c>
      <c r="I10" s="187">
        <v>169052</v>
      </c>
      <c r="J10" s="187">
        <v>7044</v>
      </c>
      <c r="K10" s="187">
        <v>176096</v>
      </c>
      <c r="L10" s="187">
        <v>37227</v>
      </c>
      <c r="N10" s="312" t="s">
        <v>870</v>
      </c>
      <c r="O10" s="312" t="s">
        <v>871</v>
      </c>
      <c r="P10" s="312">
        <v>10</v>
      </c>
      <c r="Q10" s="312">
        <v>28.599999999999998</v>
      </c>
      <c r="R10" s="318">
        <v>36160</v>
      </c>
      <c r="S10" s="312"/>
      <c r="T10" s="312">
        <v>26900</v>
      </c>
      <c r="U10" s="312">
        <v>642</v>
      </c>
      <c r="V10" s="312">
        <v>26900</v>
      </c>
      <c r="W10" s="312">
        <v>0</v>
      </c>
      <c r="X10" s="312">
        <v>26900</v>
      </c>
      <c r="Y10" s="312">
        <v>0</v>
      </c>
    </row>
    <row r="11" spans="1:25" ht="15">
      <c r="A11" s="187" t="s">
        <v>278</v>
      </c>
      <c r="B11" s="187" t="s">
        <v>279</v>
      </c>
      <c r="C11" s="187">
        <v>2</v>
      </c>
      <c r="D11" s="187">
        <v>3.3</v>
      </c>
      <c r="E11" s="193">
        <v>31381</v>
      </c>
      <c r="F11" s="187"/>
      <c r="G11" s="187">
        <v>3041358</v>
      </c>
      <c r="H11" s="187">
        <v>8364</v>
      </c>
      <c r="I11" s="187">
        <v>1858201</v>
      </c>
      <c r="J11" s="187">
        <v>100368</v>
      </c>
      <c r="K11" s="187">
        <v>1958569</v>
      </c>
      <c r="L11" s="187">
        <v>1082789</v>
      </c>
      <c r="N11" s="312" t="s">
        <v>872</v>
      </c>
      <c r="O11" s="312" t="s">
        <v>873</v>
      </c>
      <c r="P11" s="312">
        <v>10</v>
      </c>
      <c r="Q11" s="312">
        <v>28.599999999999998</v>
      </c>
      <c r="R11" s="318">
        <v>36160</v>
      </c>
      <c r="S11" s="318">
        <v>44718</v>
      </c>
      <c r="T11" s="312">
        <v>106500</v>
      </c>
      <c r="U11" s="312">
        <v>2539</v>
      </c>
      <c r="V11" s="312">
        <v>106500</v>
      </c>
      <c r="W11" s="312">
        <v>0</v>
      </c>
      <c r="X11" s="312">
        <v>106500</v>
      </c>
      <c r="Y11" s="312">
        <v>0</v>
      </c>
    </row>
    <row r="12" spans="1:25" ht="15">
      <c r="A12" s="187" t="s">
        <v>280</v>
      </c>
      <c r="B12" s="187" t="s">
        <v>281</v>
      </c>
      <c r="C12" s="187">
        <v>2</v>
      </c>
      <c r="D12" s="187">
        <v>2</v>
      </c>
      <c r="E12" s="193">
        <v>36160</v>
      </c>
      <c r="F12" s="187"/>
      <c r="G12" s="187">
        <v>88000</v>
      </c>
      <c r="H12" s="187">
        <v>147</v>
      </c>
      <c r="I12" s="187">
        <v>39516</v>
      </c>
      <c r="J12" s="187">
        <v>1764</v>
      </c>
      <c r="K12" s="187">
        <v>41280</v>
      </c>
      <c r="L12" s="187">
        <v>46720</v>
      </c>
      <c r="N12" s="312" t="s">
        <v>874</v>
      </c>
      <c r="O12" s="312" t="s">
        <v>875</v>
      </c>
      <c r="P12" s="312">
        <v>10</v>
      </c>
      <c r="Q12" s="312">
        <v>20</v>
      </c>
      <c r="R12" s="318">
        <v>36494</v>
      </c>
      <c r="S12" s="318">
        <v>44718</v>
      </c>
      <c r="T12" s="312">
        <v>53430</v>
      </c>
      <c r="U12" s="312">
        <v>891</v>
      </c>
      <c r="V12" s="312">
        <v>53430</v>
      </c>
      <c r="W12" s="312">
        <v>0</v>
      </c>
      <c r="X12" s="312">
        <v>53430</v>
      </c>
      <c r="Y12" s="312">
        <v>0</v>
      </c>
    </row>
    <row r="13" spans="1:25" ht="15">
      <c r="A13" s="187" t="s">
        <v>282</v>
      </c>
      <c r="B13" s="187" t="s">
        <v>283</v>
      </c>
      <c r="C13" s="187">
        <v>2</v>
      </c>
      <c r="D13" s="187">
        <v>4.5</v>
      </c>
      <c r="E13" s="193">
        <v>36600</v>
      </c>
      <c r="F13" s="187"/>
      <c r="G13" s="187">
        <v>121431</v>
      </c>
      <c r="H13" s="187">
        <v>456</v>
      </c>
      <c r="I13" s="187">
        <v>119007</v>
      </c>
      <c r="J13" s="187">
        <v>2424</v>
      </c>
      <c r="K13" s="187">
        <v>121431</v>
      </c>
      <c r="L13" s="187">
        <v>0</v>
      </c>
      <c r="N13" s="312" t="s">
        <v>876</v>
      </c>
      <c r="O13" s="312" t="s">
        <v>877</v>
      </c>
      <c r="P13" s="312">
        <v>10</v>
      </c>
      <c r="Q13" s="312">
        <v>20</v>
      </c>
      <c r="R13" s="318">
        <v>36524</v>
      </c>
      <c r="S13" s="312"/>
      <c r="T13" s="312">
        <v>737625</v>
      </c>
      <c r="U13" s="312">
        <v>12294</v>
      </c>
      <c r="V13" s="312">
        <v>643575</v>
      </c>
      <c r="W13" s="312">
        <v>94050</v>
      </c>
      <c r="X13" s="312">
        <v>737625</v>
      </c>
      <c r="Y13" s="312">
        <v>0</v>
      </c>
    </row>
    <row r="14" spans="1:25" ht="15">
      <c r="A14" s="187" t="s">
        <v>284</v>
      </c>
      <c r="B14" s="187" t="s">
        <v>285</v>
      </c>
      <c r="C14" s="187">
        <v>2</v>
      </c>
      <c r="D14" s="187">
        <v>3.3</v>
      </c>
      <c r="E14" s="193">
        <v>31381</v>
      </c>
      <c r="F14" s="187"/>
      <c r="G14" s="187">
        <v>1914489</v>
      </c>
      <c r="H14" s="187">
        <v>5265</v>
      </c>
      <c r="I14" s="187">
        <v>1284494</v>
      </c>
      <c r="J14" s="187">
        <v>63180</v>
      </c>
      <c r="K14" s="187">
        <v>1347674</v>
      </c>
      <c r="L14" s="187">
        <v>566815</v>
      </c>
      <c r="N14" s="312" t="s">
        <v>878</v>
      </c>
      <c r="O14" s="312" t="s">
        <v>879</v>
      </c>
      <c r="P14" s="312">
        <v>10</v>
      </c>
      <c r="Q14" s="312">
        <v>20</v>
      </c>
      <c r="R14" s="318">
        <v>36524</v>
      </c>
      <c r="S14" s="312"/>
      <c r="T14" s="312">
        <v>186255</v>
      </c>
      <c r="U14" s="312">
        <v>3105</v>
      </c>
      <c r="V14" s="312">
        <v>186255</v>
      </c>
      <c r="W14" s="312">
        <v>0</v>
      </c>
      <c r="X14" s="312">
        <v>186255</v>
      </c>
      <c r="Y14" s="312">
        <v>0</v>
      </c>
    </row>
    <row r="15" spans="1:25" ht="15">
      <c r="A15" s="187" t="s">
        <v>286</v>
      </c>
      <c r="B15" s="187" t="s">
        <v>287</v>
      </c>
      <c r="C15" s="187">
        <v>2</v>
      </c>
      <c r="D15" s="187">
        <v>3.3</v>
      </c>
      <c r="E15" s="193">
        <v>28126</v>
      </c>
      <c r="F15" s="187"/>
      <c r="G15" s="187">
        <v>11306</v>
      </c>
      <c r="H15" s="187">
        <v>32</v>
      </c>
      <c r="I15" s="187">
        <v>9181</v>
      </c>
      <c r="J15" s="187">
        <v>384</v>
      </c>
      <c r="K15" s="187">
        <v>9565</v>
      </c>
      <c r="L15" s="187">
        <v>1741</v>
      </c>
      <c r="N15" s="312" t="s">
        <v>880</v>
      </c>
      <c r="O15" s="312" t="s">
        <v>881</v>
      </c>
      <c r="P15" s="312">
        <v>10</v>
      </c>
      <c r="Q15" s="312">
        <v>34</v>
      </c>
      <c r="R15" s="318">
        <v>38595</v>
      </c>
      <c r="S15" s="318">
        <v>44718</v>
      </c>
      <c r="T15" s="312">
        <v>161580</v>
      </c>
      <c r="U15" s="312">
        <v>4579</v>
      </c>
      <c r="V15" s="312">
        <v>161580</v>
      </c>
      <c r="W15" s="312">
        <v>0</v>
      </c>
      <c r="X15" s="312">
        <v>161580</v>
      </c>
      <c r="Y15" s="312">
        <v>0</v>
      </c>
    </row>
    <row r="16" spans="1:25" ht="15">
      <c r="A16" s="187" t="s">
        <v>288</v>
      </c>
      <c r="B16" s="187" t="s">
        <v>289</v>
      </c>
      <c r="C16" s="187">
        <v>2</v>
      </c>
      <c r="D16" s="187">
        <v>3.3</v>
      </c>
      <c r="E16" s="193">
        <v>31471</v>
      </c>
      <c r="F16" s="187"/>
      <c r="G16" s="187">
        <v>117180</v>
      </c>
      <c r="H16" s="187">
        <v>323</v>
      </c>
      <c r="I16" s="187">
        <v>92991</v>
      </c>
      <c r="J16" s="187">
        <v>3876</v>
      </c>
      <c r="K16" s="187">
        <v>96867</v>
      </c>
      <c r="L16" s="187">
        <v>20313</v>
      </c>
      <c r="N16" s="312" t="s">
        <v>882</v>
      </c>
      <c r="O16" s="312" t="s">
        <v>883</v>
      </c>
      <c r="P16" s="312">
        <v>10</v>
      </c>
      <c r="Q16" s="312">
        <v>28.599999999999998</v>
      </c>
      <c r="R16" s="318">
        <v>34637</v>
      </c>
      <c r="S16" s="312"/>
      <c r="T16" s="312">
        <v>15517</v>
      </c>
      <c r="U16" s="312">
        <v>370</v>
      </c>
      <c r="V16" s="312">
        <v>15517</v>
      </c>
      <c r="W16" s="312">
        <v>0</v>
      </c>
      <c r="X16" s="312">
        <v>15517</v>
      </c>
      <c r="Y16" s="312">
        <v>0</v>
      </c>
    </row>
    <row r="17" spans="1:25" ht="15">
      <c r="A17" s="187" t="s">
        <v>290</v>
      </c>
      <c r="B17" s="187" t="s">
        <v>291</v>
      </c>
      <c r="C17" s="187">
        <v>2</v>
      </c>
      <c r="D17" s="187">
        <v>3.3</v>
      </c>
      <c r="E17" s="193">
        <v>39679</v>
      </c>
      <c r="F17" s="187"/>
      <c r="G17" s="187">
        <v>593375</v>
      </c>
      <c r="H17" s="187">
        <v>1632</v>
      </c>
      <c r="I17" s="187">
        <v>225396</v>
      </c>
      <c r="J17" s="187">
        <v>19584</v>
      </c>
      <c r="K17" s="187">
        <v>244980</v>
      </c>
      <c r="L17" s="187">
        <v>348395</v>
      </c>
      <c r="N17" s="312" t="s">
        <v>884</v>
      </c>
      <c r="O17" s="312" t="s">
        <v>885</v>
      </c>
      <c r="P17" s="312">
        <v>10</v>
      </c>
      <c r="Q17" s="312">
        <v>0</v>
      </c>
      <c r="R17" s="318">
        <v>42826</v>
      </c>
      <c r="S17" s="318">
        <v>44718</v>
      </c>
      <c r="T17" s="312">
        <v>95100</v>
      </c>
      <c r="U17" s="312">
        <v>2642</v>
      </c>
      <c r="V17" s="312">
        <v>95100</v>
      </c>
      <c r="W17" s="312">
        <v>0</v>
      </c>
      <c r="X17" s="312">
        <v>95100</v>
      </c>
      <c r="Y17" s="312">
        <v>0</v>
      </c>
    </row>
    <row r="18" spans="1:25" ht="15">
      <c r="A18" s="187" t="s">
        <v>292</v>
      </c>
      <c r="B18" s="187" t="s">
        <v>293</v>
      </c>
      <c r="C18" s="187">
        <v>2</v>
      </c>
      <c r="D18" s="187">
        <v>3.3</v>
      </c>
      <c r="E18" s="193">
        <v>39686</v>
      </c>
      <c r="F18" s="187"/>
      <c r="G18" s="187">
        <v>737223</v>
      </c>
      <c r="H18" s="187">
        <v>2028</v>
      </c>
      <c r="I18" s="187">
        <v>324480</v>
      </c>
      <c r="J18" s="187">
        <v>24336</v>
      </c>
      <c r="K18" s="187">
        <v>348816</v>
      </c>
      <c r="L18" s="187">
        <v>388407</v>
      </c>
      <c r="N18" s="312" t="s">
        <v>886</v>
      </c>
      <c r="O18" s="312" t="s">
        <v>887</v>
      </c>
      <c r="P18" s="312">
        <v>10</v>
      </c>
      <c r="Q18" s="312">
        <v>0</v>
      </c>
      <c r="R18" s="318">
        <v>42916</v>
      </c>
      <c r="S18" s="312"/>
      <c r="T18" s="312">
        <v>48000</v>
      </c>
      <c r="U18" s="312">
        <v>1334</v>
      </c>
      <c r="V18" s="312">
        <v>48000</v>
      </c>
      <c r="W18" s="312">
        <v>0</v>
      </c>
      <c r="X18" s="312">
        <v>48000</v>
      </c>
      <c r="Y18" s="312">
        <v>0</v>
      </c>
    </row>
    <row r="19" spans="1:25" ht="15">
      <c r="A19" s="187" t="s">
        <v>294</v>
      </c>
      <c r="B19" s="187" t="s">
        <v>295</v>
      </c>
      <c r="C19" s="187">
        <v>2</v>
      </c>
      <c r="D19" s="187">
        <v>3.3</v>
      </c>
      <c r="E19" s="193">
        <v>39687</v>
      </c>
      <c r="F19" s="187"/>
      <c r="G19" s="187">
        <v>1969244</v>
      </c>
      <c r="H19" s="187">
        <v>5416</v>
      </c>
      <c r="I19" s="187">
        <v>866560</v>
      </c>
      <c r="J19" s="187">
        <v>64992</v>
      </c>
      <c r="K19" s="187">
        <v>931552</v>
      </c>
      <c r="L19" s="187">
        <v>1037692</v>
      </c>
      <c r="N19" s="312" t="s">
        <v>888</v>
      </c>
      <c r="O19" s="312" t="s">
        <v>889</v>
      </c>
      <c r="P19" s="312">
        <v>10</v>
      </c>
      <c r="Q19" s="312">
        <v>0</v>
      </c>
      <c r="R19" s="318">
        <v>43270</v>
      </c>
      <c r="S19" s="312"/>
      <c r="T19" s="312">
        <v>358060</v>
      </c>
      <c r="U19" s="312">
        <v>9947</v>
      </c>
      <c r="V19" s="312">
        <v>203209</v>
      </c>
      <c r="W19" s="312">
        <v>148281</v>
      </c>
      <c r="X19" s="312">
        <v>351490</v>
      </c>
      <c r="Y19" s="312">
        <v>6570</v>
      </c>
    </row>
    <row r="20" spans="1:25" ht="15">
      <c r="A20" s="187" t="s">
        <v>296</v>
      </c>
      <c r="B20" s="187" t="s">
        <v>297</v>
      </c>
      <c r="C20" s="187">
        <v>2</v>
      </c>
      <c r="D20" s="187">
        <v>3.3</v>
      </c>
      <c r="E20" s="193">
        <v>40141</v>
      </c>
      <c r="F20" s="187"/>
      <c r="G20" s="187">
        <v>611901</v>
      </c>
      <c r="H20" s="187">
        <v>1683</v>
      </c>
      <c r="I20" s="187">
        <v>193250</v>
      </c>
      <c r="J20" s="187">
        <v>20196</v>
      </c>
      <c r="K20" s="187">
        <v>213446</v>
      </c>
      <c r="L20" s="187">
        <v>398455</v>
      </c>
      <c r="N20" s="312" t="s">
        <v>890</v>
      </c>
      <c r="O20" s="312" t="s">
        <v>891</v>
      </c>
      <c r="P20" s="312">
        <v>10</v>
      </c>
      <c r="Q20" s="312">
        <v>28.599999999999998</v>
      </c>
      <c r="R20" s="318">
        <v>34719</v>
      </c>
      <c r="S20" s="312"/>
      <c r="T20" s="312">
        <v>10695</v>
      </c>
      <c r="U20" s="312">
        <v>255</v>
      </c>
      <c r="V20" s="312">
        <v>10695</v>
      </c>
      <c r="W20" s="312">
        <v>0</v>
      </c>
      <c r="X20" s="312">
        <v>10695</v>
      </c>
      <c r="Y20" s="312">
        <v>0</v>
      </c>
    </row>
    <row r="21" spans="1:25" ht="15">
      <c r="A21" s="187" t="s">
        <v>298</v>
      </c>
      <c r="B21" s="187" t="s">
        <v>299</v>
      </c>
      <c r="C21" s="187">
        <v>2</v>
      </c>
      <c r="D21" s="187">
        <v>3.3</v>
      </c>
      <c r="E21" s="193">
        <v>40451</v>
      </c>
      <c r="F21" s="187"/>
      <c r="G21" s="187">
        <v>714516</v>
      </c>
      <c r="H21" s="187">
        <v>1965</v>
      </c>
      <c r="I21" s="187">
        <v>265275</v>
      </c>
      <c r="J21" s="187">
        <v>23580</v>
      </c>
      <c r="K21" s="187">
        <v>288855</v>
      </c>
      <c r="L21" s="187">
        <v>425661</v>
      </c>
      <c r="N21" s="312" t="s">
        <v>892</v>
      </c>
      <c r="O21" s="312" t="s">
        <v>893</v>
      </c>
      <c r="P21" s="312">
        <v>10</v>
      </c>
      <c r="Q21" s="312">
        <v>0</v>
      </c>
      <c r="R21" s="318">
        <v>43784</v>
      </c>
      <c r="S21" s="312"/>
      <c r="T21" s="312">
        <v>122000</v>
      </c>
      <c r="U21" s="312">
        <v>2034</v>
      </c>
      <c r="V21" s="312">
        <v>50850</v>
      </c>
      <c r="W21" s="312">
        <v>24408</v>
      </c>
      <c r="X21" s="312">
        <v>75258</v>
      </c>
      <c r="Y21" s="312">
        <v>46742</v>
      </c>
    </row>
    <row r="22" spans="1:25" ht="15">
      <c r="A22" s="187" t="s">
        <v>300</v>
      </c>
      <c r="B22" s="187" t="s">
        <v>301</v>
      </c>
      <c r="C22" s="187">
        <v>2</v>
      </c>
      <c r="D22" s="187">
        <v>5</v>
      </c>
      <c r="E22" s="193">
        <v>41213</v>
      </c>
      <c r="F22" s="187"/>
      <c r="G22" s="187">
        <v>1000</v>
      </c>
      <c r="H22" s="187">
        <v>5</v>
      </c>
      <c r="I22" s="187">
        <v>550</v>
      </c>
      <c r="J22" s="187">
        <v>60</v>
      </c>
      <c r="K22" s="187">
        <v>610</v>
      </c>
      <c r="L22" s="187">
        <v>390</v>
      </c>
      <c r="N22" s="312" t="s">
        <v>894</v>
      </c>
      <c r="O22" s="312" t="s">
        <v>895</v>
      </c>
      <c r="P22" s="312">
        <v>10</v>
      </c>
      <c r="Q22" s="312">
        <v>28.599999999999998</v>
      </c>
      <c r="R22" s="318">
        <v>34878</v>
      </c>
      <c r="S22" s="312"/>
      <c r="T22" s="312">
        <v>10474</v>
      </c>
      <c r="U22" s="312">
        <v>250</v>
      </c>
      <c r="V22" s="312">
        <v>10474</v>
      </c>
      <c r="W22" s="312">
        <v>0</v>
      </c>
      <c r="X22" s="312">
        <v>10474</v>
      </c>
      <c r="Y22" s="312">
        <v>0</v>
      </c>
    </row>
    <row r="23" spans="1:25" ht="15">
      <c r="A23" s="187" t="s">
        <v>302</v>
      </c>
      <c r="B23" s="187" t="s">
        <v>303</v>
      </c>
      <c r="C23" s="187">
        <v>2</v>
      </c>
      <c r="D23" s="187">
        <v>3.3</v>
      </c>
      <c r="E23" s="193">
        <v>41628</v>
      </c>
      <c r="F23" s="187"/>
      <c r="G23" s="187">
        <v>669415</v>
      </c>
      <c r="H23" s="187">
        <v>1841</v>
      </c>
      <c r="I23" s="187">
        <v>132552</v>
      </c>
      <c r="J23" s="187">
        <v>22092</v>
      </c>
      <c r="K23" s="187">
        <v>154644</v>
      </c>
      <c r="L23" s="187">
        <v>514771</v>
      </c>
      <c r="N23" s="312" t="s">
        <v>896</v>
      </c>
      <c r="O23" s="312" t="s">
        <v>897</v>
      </c>
      <c r="P23" s="312">
        <v>10</v>
      </c>
      <c r="Q23" s="312">
        <v>28.599999999999998</v>
      </c>
      <c r="R23" s="318">
        <v>35429</v>
      </c>
      <c r="S23" s="312"/>
      <c r="T23" s="312">
        <v>95535</v>
      </c>
      <c r="U23" s="312">
        <v>2277</v>
      </c>
      <c r="V23" s="312">
        <v>95535</v>
      </c>
      <c r="W23" s="312">
        <v>0</v>
      </c>
      <c r="X23" s="312">
        <v>95535</v>
      </c>
      <c r="Y23" s="312">
        <v>0</v>
      </c>
    </row>
    <row r="24" spans="1:25" ht="15">
      <c r="A24" s="187" t="s">
        <v>304</v>
      </c>
      <c r="B24" s="187" t="s">
        <v>305</v>
      </c>
      <c r="C24" s="187">
        <v>2</v>
      </c>
      <c r="D24" s="187">
        <v>5</v>
      </c>
      <c r="E24" s="193">
        <v>41866</v>
      </c>
      <c r="F24" s="187"/>
      <c r="G24" s="187">
        <v>1748300</v>
      </c>
      <c r="H24" s="187">
        <v>7285</v>
      </c>
      <c r="I24" s="187">
        <v>641080</v>
      </c>
      <c r="J24" s="187">
        <v>87420</v>
      </c>
      <c r="K24" s="187">
        <v>728500</v>
      </c>
      <c r="L24" s="187">
        <v>1019800</v>
      </c>
      <c r="N24" s="312" t="s">
        <v>898</v>
      </c>
      <c r="O24" s="312" t="s">
        <v>899</v>
      </c>
      <c r="P24" s="312">
        <v>10</v>
      </c>
      <c r="Q24" s="312">
        <v>28.599999999999998</v>
      </c>
      <c r="R24" s="318">
        <v>35429</v>
      </c>
      <c r="S24" s="312"/>
      <c r="T24" s="312">
        <v>67807</v>
      </c>
      <c r="U24" s="312">
        <v>1617</v>
      </c>
      <c r="V24" s="312">
        <v>67807</v>
      </c>
      <c r="W24" s="312">
        <v>0</v>
      </c>
      <c r="X24" s="312">
        <v>67807</v>
      </c>
      <c r="Y24" s="312">
        <v>0</v>
      </c>
    </row>
    <row r="25" spans="1:25" ht="15.75" thickBot="1">
      <c r="A25" s="187" t="s">
        <v>306</v>
      </c>
      <c r="B25" s="187" t="s">
        <v>307</v>
      </c>
      <c r="C25" s="187">
        <v>2</v>
      </c>
      <c r="D25" s="187">
        <v>5</v>
      </c>
      <c r="E25" s="193">
        <v>41866</v>
      </c>
      <c r="F25" s="187"/>
      <c r="G25" s="187">
        <v>5100720</v>
      </c>
      <c r="H25" s="187">
        <v>21253</v>
      </c>
      <c r="I25" s="187">
        <v>1826968</v>
      </c>
      <c r="J25" s="187">
        <v>255036</v>
      </c>
      <c r="K25" s="187">
        <v>2082004</v>
      </c>
      <c r="L25" s="187">
        <v>3018716</v>
      </c>
      <c r="N25" s="312" t="s">
        <v>900</v>
      </c>
      <c r="O25" s="312" t="s">
        <v>901</v>
      </c>
      <c r="P25" s="312">
        <v>10</v>
      </c>
      <c r="Q25" s="312">
        <v>28.599999999999998</v>
      </c>
      <c r="R25" s="318">
        <v>35471</v>
      </c>
      <c r="S25" s="312"/>
      <c r="T25" s="312">
        <v>87704</v>
      </c>
      <c r="U25" s="312">
        <v>2091</v>
      </c>
      <c r="V25" s="312">
        <v>87704</v>
      </c>
      <c r="W25" s="312">
        <v>0</v>
      </c>
      <c r="X25" s="312">
        <v>87704</v>
      </c>
      <c r="Y25" s="312">
        <v>0</v>
      </c>
    </row>
    <row r="26" spans="1:25" ht="16.5" thickTop="1" thickBot="1">
      <c r="A26" s="187" t="s">
        <v>308</v>
      </c>
      <c r="B26" s="187" t="s">
        <v>309</v>
      </c>
      <c r="C26" s="187">
        <v>2</v>
      </c>
      <c r="D26" s="187">
        <v>5</v>
      </c>
      <c r="E26" s="193">
        <v>42244</v>
      </c>
      <c r="F26" s="187"/>
      <c r="G26" s="187">
        <v>1740528.2599999998</v>
      </c>
      <c r="H26" s="187">
        <v>7253</v>
      </c>
      <c r="I26" s="187">
        <v>108348</v>
      </c>
      <c r="J26" s="187">
        <v>86787</v>
      </c>
      <c r="K26" s="187">
        <v>195135</v>
      </c>
      <c r="L26" s="187">
        <v>1545393.2599999998</v>
      </c>
      <c r="N26" s="317" t="s">
        <v>902</v>
      </c>
      <c r="O26" s="317"/>
      <c r="P26" s="317"/>
      <c r="Q26" s="317"/>
      <c r="R26" s="317"/>
      <c r="S26" s="317"/>
      <c r="T26" s="317">
        <v>2569939</v>
      </c>
      <c r="U26" s="317">
        <v>56087</v>
      </c>
      <c r="V26" s="317">
        <v>2249888</v>
      </c>
      <c r="W26" s="317">
        <v>266739</v>
      </c>
      <c r="X26" s="317">
        <v>2516627</v>
      </c>
      <c r="Y26" s="317">
        <v>53312</v>
      </c>
    </row>
    <row r="27" spans="1:25" ht="16.5" thickTop="1" thickBot="1">
      <c r="A27" s="187">
        <v>12100</v>
      </c>
      <c r="B27" s="187" t="s">
        <v>310</v>
      </c>
      <c r="C27" s="187">
        <v>2</v>
      </c>
      <c r="D27" s="187">
        <v>5</v>
      </c>
      <c r="E27" s="193">
        <v>42283</v>
      </c>
      <c r="F27" s="187"/>
      <c r="G27" s="187">
        <v>31117</v>
      </c>
      <c r="H27" s="187">
        <v>130</v>
      </c>
      <c r="I27" s="187">
        <v>9620</v>
      </c>
      <c r="J27" s="187">
        <v>1560</v>
      </c>
      <c r="K27" s="187">
        <v>11180</v>
      </c>
      <c r="L27" s="187">
        <v>19937</v>
      </c>
      <c r="N27" s="312" t="s">
        <v>903</v>
      </c>
      <c r="O27" s="312" t="s">
        <v>904</v>
      </c>
      <c r="P27" s="312">
        <v>13</v>
      </c>
      <c r="Q27" s="312">
        <v>20</v>
      </c>
      <c r="R27" s="318">
        <v>36890</v>
      </c>
      <c r="S27" s="312"/>
      <c r="T27" s="312">
        <v>72603</v>
      </c>
      <c r="U27" s="312">
        <v>1211</v>
      </c>
      <c r="V27" s="312">
        <v>72603</v>
      </c>
      <c r="W27" s="312">
        <v>0</v>
      </c>
      <c r="X27" s="312">
        <v>72603</v>
      </c>
      <c r="Y27" s="312">
        <v>0</v>
      </c>
    </row>
    <row r="28" spans="1:25" ht="16.5" thickTop="1" thickBot="1">
      <c r="A28" s="187">
        <v>12113</v>
      </c>
      <c r="B28" s="187" t="s">
        <v>311</v>
      </c>
      <c r="C28" s="187">
        <v>2</v>
      </c>
      <c r="D28" s="187">
        <v>5</v>
      </c>
      <c r="E28" s="193">
        <v>43209</v>
      </c>
      <c r="F28" s="187"/>
      <c r="G28" s="187">
        <v>239331</v>
      </c>
      <c r="H28" s="187">
        <v>998</v>
      </c>
      <c r="I28" s="187">
        <v>43912</v>
      </c>
      <c r="J28" s="187">
        <v>11976</v>
      </c>
      <c r="K28" s="187">
        <v>55888</v>
      </c>
      <c r="L28" s="187">
        <v>183443</v>
      </c>
      <c r="N28" s="317" t="s">
        <v>905</v>
      </c>
      <c r="O28" s="317"/>
      <c r="P28" s="317"/>
      <c r="Q28" s="317"/>
      <c r="R28" s="317"/>
      <c r="S28" s="317"/>
      <c r="T28" s="317">
        <v>72603</v>
      </c>
      <c r="U28" s="317">
        <v>1211</v>
      </c>
      <c r="V28" s="317">
        <v>72603</v>
      </c>
      <c r="W28" s="317">
        <v>0</v>
      </c>
      <c r="X28" s="317">
        <v>72603</v>
      </c>
      <c r="Y28" s="317">
        <v>0</v>
      </c>
    </row>
    <row r="29" spans="1:25" ht="16.5" thickTop="1" thickBot="1">
      <c r="A29" s="192" t="s">
        <v>312</v>
      </c>
      <c r="B29" s="192"/>
      <c r="C29" s="192"/>
      <c r="D29" s="192"/>
      <c r="E29" s="192"/>
      <c r="F29" s="192"/>
      <c r="G29" s="192">
        <v>32633244.259999998</v>
      </c>
      <c r="H29" s="192">
        <v>102331</v>
      </c>
      <c r="I29" s="192">
        <v>15274180</v>
      </c>
      <c r="J29" s="192">
        <v>1224675</v>
      </c>
      <c r="K29" s="192">
        <v>16498855</v>
      </c>
      <c r="L29" s="192">
        <v>16134389.26</v>
      </c>
      <c r="N29" s="312" t="s">
        <v>906</v>
      </c>
      <c r="O29" s="312" t="s">
        <v>907</v>
      </c>
      <c r="P29" s="312">
        <v>16</v>
      </c>
      <c r="Q29" s="312">
        <v>34</v>
      </c>
      <c r="R29" s="318">
        <v>39478</v>
      </c>
      <c r="S29" s="318">
        <v>44718</v>
      </c>
      <c r="T29" s="312">
        <v>156404</v>
      </c>
      <c r="U29" s="312">
        <v>4432</v>
      </c>
      <c r="V29" s="312">
        <v>156404</v>
      </c>
      <c r="W29" s="312">
        <v>0</v>
      </c>
      <c r="X29" s="312">
        <v>156404</v>
      </c>
      <c r="Y29" s="312">
        <v>0</v>
      </c>
    </row>
    <row r="30" spans="1:25" ht="16.5" thickTop="1" thickBot="1">
      <c r="A30" s="187" t="s">
        <v>313</v>
      </c>
      <c r="B30" s="187" t="s">
        <v>314</v>
      </c>
      <c r="C30" s="187">
        <v>3</v>
      </c>
      <c r="D30" s="187">
        <v>7</v>
      </c>
      <c r="E30" s="193">
        <v>31198</v>
      </c>
      <c r="F30" s="187"/>
      <c r="G30" s="187">
        <v>1552</v>
      </c>
      <c r="H30" s="187">
        <v>10</v>
      </c>
      <c r="I30" s="187">
        <v>1552</v>
      </c>
      <c r="J30" s="187">
        <v>0</v>
      </c>
      <c r="K30" s="187">
        <v>1552</v>
      </c>
      <c r="L30" s="187">
        <v>0</v>
      </c>
      <c r="N30" s="317" t="s">
        <v>908</v>
      </c>
      <c r="O30" s="317"/>
      <c r="P30" s="317"/>
      <c r="Q30" s="317"/>
      <c r="R30" s="317"/>
      <c r="S30" s="317"/>
      <c r="T30" s="317">
        <v>156404</v>
      </c>
      <c r="U30" s="317">
        <v>4432</v>
      </c>
      <c r="V30" s="317">
        <v>156404</v>
      </c>
      <c r="W30" s="317">
        <v>0</v>
      </c>
      <c r="X30" s="317">
        <v>156404</v>
      </c>
      <c r="Y30" s="317">
        <v>0</v>
      </c>
    </row>
    <row r="31" spans="1:25" ht="15.75" thickTop="1">
      <c r="A31" s="187" t="s">
        <v>315</v>
      </c>
      <c r="B31" s="187" t="s">
        <v>314</v>
      </c>
      <c r="C31" s="187">
        <v>3</v>
      </c>
      <c r="D31" s="187">
        <v>7</v>
      </c>
      <c r="E31" s="193">
        <v>31223</v>
      </c>
      <c r="F31" s="187"/>
      <c r="G31" s="187">
        <v>3182</v>
      </c>
      <c r="H31" s="187">
        <v>19</v>
      </c>
      <c r="I31" s="187">
        <v>3182</v>
      </c>
      <c r="J31" s="187">
        <v>0</v>
      </c>
      <c r="K31" s="187">
        <v>3182</v>
      </c>
      <c r="L31" s="187">
        <v>0</v>
      </c>
      <c r="N31" s="312" t="s">
        <v>909</v>
      </c>
      <c r="O31" s="312" t="s">
        <v>910</v>
      </c>
      <c r="P31" s="312">
        <v>18</v>
      </c>
      <c r="Q31" s="312">
        <v>0</v>
      </c>
      <c r="R31" s="318">
        <v>41604</v>
      </c>
      <c r="S31" s="312"/>
      <c r="T31" s="312">
        <v>25922</v>
      </c>
      <c r="U31" s="312">
        <v>721</v>
      </c>
      <c r="V31" s="312">
        <v>25922</v>
      </c>
      <c r="W31" s="312">
        <v>0</v>
      </c>
      <c r="X31" s="312">
        <v>25922</v>
      </c>
      <c r="Y31" s="312">
        <v>0</v>
      </c>
    </row>
    <row r="32" spans="1:25" ht="15">
      <c r="A32" s="187" t="s">
        <v>316</v>
      </c>
      <c r="B32" s="187" t="s">
        <v>317</v>
      </c>
      <c r="C32" s="187">
        <v>3</v>
      </c>
      <c r="D32" s="187">
        <v>7</v>
      </c>
      <c r="E32" s="193">
        <v>32183</v>
      </c>
      <c r="F32" s="193">
        <v>44621</v>
      </c>
      <c r="G32" s="187">
        <v>5882</v>
      </c>
      <c r="H32" s="187">
        <v>35</v>
      </c>
      <c r="I32" s="187">
        <v>5882</v>
      </c>
      <c r="J32" s="187">
        <v>0</v>
      </c>
      <c r="K32" s="187">
        <v>5882</v>
      </c>
      <c r="L32" s="187">
        <v>0</v>
      </c>
      <c r="N32" s="312" t="s">
        <v>911</v>
      </c>
      <c r="O32" s="312" t="s">
        <v>912</v>
      </c>
      <c r="P32" s="312">
        <v>18</v>
      </c>
      <c r="Q32" s="312">
        <v>0</v>
      </c>
      <c r="R32" s="318">
        <v>41604</v>
      </c>
      <c r="S32" s="312"/>
      <c r="T32" s="312">
        <v>62641</v>
      </c>
      <c r="U32" s="312">
        <v>1741</v>
      </c>
      <c r="V32" s="312">
        <v>62641</v>
      </c>
      <c r="W32" s="312">
        <v>0</v>
      </c>
      <c r="X32" s="312">
        <v>62641</v>
      </c>
      <c r="Y32" s="312">
        <v>0</v>
      </c>
    </row>
    <row r="33" spans="1:25" ht="15.75" thickBot="1">
      <c r="A33" s="187" t="s">
        <v>318</v>
      </c>
      <c r="B33" s="187" t="s">
        <v>319</v>
      </c>
      <c r="C33" s="187">
        <v>3</v>
      </c>
      <c r="D33" s="187">
        <v>7</v>
      </c>
      <c r="E33" s="193">
        <v>32230</v>
      </c>
      <c r="F33" s="187"/>
      <c r="G33" s="187">
        <v>35359</v>
      </c>
      <c r="H33" s="187">
        <v>207</v>
      </c>
      <c r="I33" s="187">
        <v>35359</v>
      </c>
      <c r="J33" s="187">
        <v>0</v>
      </c>
      <c r="K33" s="187">
        <v>35359</v>
      </c>
      <c r="L33" s="187">
        <v>0</v>
      </c>
      <c r="N33" s="312" t="s">
        <v>913</v>
      </c>
      <c r="O33" s="312" t="s">
        <v>914</v>
      </c>
      <c r="P33" s="312">
        <v>18</v>
      </c>
      <c r="Q33" s="312">
        <v>0</v>
      </c>
      <c r="R33" s="318">
        <v>41604</v>
      </c>
      <c r="S33" s="312"/>
      <c r="T33" s="312">
        <v>8641</v>
      </c>
      <c r="U33" s="312">
        <v>241</v>
      </c>
      <c r="V33" s="312">
        <v>8641</v>
      </c>
      <c r="W33" s="312">
        <v>0</v>
      </c>
      <c r="X33" s="312">
        <v>8641</v>
      </c>
      <c r="Y33" s="312">
        <v>0</v>
      </c>
    </row>
    <row r="34" spans="1:25" ht="16.5" thickTop="1" thickBot="1">
      <c r="A34" s="187" t="s">
        <v>320</v>
      </c>
      <c r="B34" s="187" t="s">
        <v>321</v>
      </c>
      <c r="C34" s="187">
        <v>3</v>
      </c>
      <c r="D34" s="187">
        <v>7</v>
      </c>
      <c r="E34" s="193">
        <v>33024</v>
      </c>
      <c r="F34" s="187"/>
      <c r="G34" s="187">
        <v>91681</v>
      </c>
      <c r="H34" s="187">
        <v>535</v>
      </c>
      <c r="I34" s="187">
        <v>91681</v>
      </c>
      <c r="J34" s="187">
        <v>0</v>
      </c>
      <c r="K34" s="187">
        <v>91681</v>
      </c>
      <c r="L34" s="187">
        <v>0</v>
      </c>
      <c r="N34" s="317" t="s">
        <v>915</v>
      </c>
      <c r="O34" s="317"/>
      <c r="P34" s="317"/>
      <c r="Q34" s="317"/>
      <c r="R34" s="317"/>
      <c r="S34" s="317"/>
      <c r="T34" s="317">
        <v>97204</v>
      </c>
      <c r="U34" s="317">
        <v>2703</v>
      </c>
      <c r="V34" s="317">
        <v>97204</v>
      </c>
      <c r="W34" s="317">
        <v>0</v>
      </c>
      <c r="X34" s="317">
        <v>97204</v>
      </c>
      <c r="Y34" s="317">
        <v>0</v>
      </c>
    </row>
    <row r="35" spans="1:25" ht="16.5" thickTop="1" thickBot="1">
      <c r="A35" s="187" t="s">
        <v>322</v>
      </c>
      <c r="B35" s="187" t="s">
        <v>323</v>
      </c>
      <c r="C35" s="187">
        <v>3</v>
      </c>
      <c r="D35" s="187">
        <v>28.599999999999998</v>
      </c>
      <c r="E35" s="193">
        <v>34631</v>
      </c>
      <c r="F35" s="193">
        <v>44621</v>
      </c>
      <c r="G35" s="187">
        <v>9748</v>
      </c>
      <c r="H35" s="187">
        <v>233</v>
      </c>
      <c r="I35" s="187">
        <v>9748</v>
      </c>
      <c r="J35" s="187">
        <v>0</v>
      </c>
      <c r="K35" s="187">
        <v>9748</v>
      </c>
      <c r="L35" s="187">
        <v>0</v>
      </c>
      <c r="N35" s="312">
        <v>1030</v>
      </c>
      <c r="O35" s="312" t="s">
        <v>916</v>
      </c>
      <c r="P35" s="312">
        <v>39</v>
      </c>
      <c r="Q35" s="312">
        <v>10</v>
      </c>
      <c r="R35" s="318">
        <v>42206</v>
      </c>
      <c r="S35" s="312"/>
      <c r="T35" s="312">
        <v>17133</v>
      </c>
      <c r="U35" s="312">
        <v>143</v>
      </c>
      <c r="V35" s="312">
        <v>11011</v>
      </c>
      <c r="W35" s="312">
        <v>1716</v>
      </c>
      <c r="X35" s="312">
        <v>12727</v>
      </c>
      <c r="Y35" s="312">
        <v>4406</v>
      </c>
    </row>
    <row r="36" spans="1:25" ht="16.5" thickTop="1" thickBot="1">
      <c r="A36" s="187" t="s">
        <v>324</v>
      </c>
      <c r="B36" s="187" t="s">
        <v>325</v>
      </c>
      <c r="C36" s="187">
        <v>3</v>
      </c>
      <c r="D36" s="187">
        <v>13.399999999999999</v>
      </c>
      <c r="E36" s="193">
        <v>34641</v>
      </c>
      <c r="F36" s="187"/>
      <c r="G36" s="187">
        <v>476839</v>
      </c>
      <c r="H36" s="187">
        <v>5325</v>
      </c>
      <c r="I36" s="187">
        <v>476839</v>
      </c>
      <c r="J36" s="187">
        <v>0</v>
      </c>
      <c r="K36" s="187">
        <v>476839</v>
      </c>
      <c r="L36" s="187">
        <v>0</v>
      </c>
      <c r="N36" s="317" t="s">
        <v>917</v>
      </c>
      <c r="O36" s="317"/>
      <c r="P36" s="317"/>
      <c r="Q36" s="317"/>
      <c r="R36" s="317"/>
      <c r="S36" s="317"/>
      <c r="T36" s="317">
        <v>17133</v>
      </c>
      <c r="U36" s="317">
        <v>143</v>
      </c>
      <c r="V36" s="317">
        <v>11011</v>
      </c>
      <c r="W36" s="317">
        <v>1716</v>
      </c>
      <c r="X36" s="317">
        <v>12727</v>
      </c>
      <c r="Y36" s="317">
        <v>4406</v>
      </c>
    </row>
    <row r="37" spans="1:25" ht="15.75" thickTop="1">
      <c r="A37" s="187" t="s">
        <v>326</v>
      </c>
      <c r="B37" s="187" t="s">
        <v>327</v>
      </c>
      <c r="C37" s="187">
        <v>3</v>
      </c>
      <c r="D37" s="187">
        <v>16</v>
      </c>
      <c r="E37" s="193">
        <v>36854</v>
      </c>
      <c r="F37" s="187"/>
      <c r="G37" s="187">
        <v>54000</v>
      </c>
      <c r="H37" s="187">
        <v>720</v>
      </c>
      <c r="I37" s="187">
        <v>54000</v>
      </c>
      <c r="J37" s="187">
        <v>0</v>
      </c>
      <c r="K37" s="187">
        <v>54000</v>
      </c>
      <c r="L37" s="187">
        <v>0</v>
      </c>
      <c r="N37" s="312">
        <v>10200</v>
      </c>
      <c r="O37" s="312" t="s">
        <v>918</v>
      </c>
      <c r="P37" s="312">
        <v>46</v>
      </c>
      <c r="Q37" s="312">
        <v>0</v>
      </c>
      <c r="R37" s="318">
        <v>43100</v>
      </c>
      <c r="S37" s="312"/>
      <c r="T37" s="312">
        <v>14705</v>
      </c>
      <c r="U37" s="312">
        <v>246</v>
      </c>
      <c r="V37" s="312">
        <v>11781</v>
      </c>
      <c r="W37" s="312">
        <v>2924</v>
      </c>
      <c r="X37" s="312">
        <v>14705</v>
      </c>
      <c r="Y37" s="312">
        <v>0</v>
      </c>
    </row>
    <row r="38" spans="1:25" ht="15">
      <c r="A38" s="187" t="s">
        <v>328</v>
      </c>
      <c r="B38" s="187" t="s">
        <v>329</v>
      </c>
      <c r="C38" s="187">
        <v>3</v>
      </c>
      <c r="D38" s="187">
        <v>20</v>
      </c>
      <c r="E38" s="193">
        <v>40118</v>
      </c>
      <c r="F38" s="187"/>
      <c r="G38" s="187">
        <v>75840</v>
      </c>
      <c r="H38" s="187">
        <v>1264</v>
      </c>
      <c r="I38" s="187">
        <v>75840</v>
      </c>
      <c r="J38" s="187">
        <v>0</v>
      </c>
      <c r="K38" s="187">
        <v>75840</v>
      </c>
      <c r="L38" s="187">
        <v>0</v>
      </c>
      <c r="N38" s="312">
        <v>10201</v>
      </c>
      <c r="O38" s="312" t="s">
        <v>919</v>
      </c>
      <c r="P38" s="312">
        <v>46</v>
      </c>
      <c r="Q38" s="312">
        <v>0</v>
      </c>
      <c r="R38" s="318">
        <v>43100</v>
      </c>
      <c r="S38" s="312"/>
      <c r="T38" s="312">
        <v>9121</v>
      </c>
      <c r="U38" s="312">
        <v>153</v>
      </c>
      <c r="V38" s="312">
        <v>7326</v>
      </c>
      <c r="W38" s="312">
        <v>1795</v>
      </c>
      <c r="X38" s="312">
        <v>9121</v>
      </c>
      <c r="Y38" s="312">
        <v>0</v>
      </c>
    </row>
    <row r="39" spans="1:25" ht="15">
      <c r="A39" s="187" t="s">
        <v>330</v>
      </c>
      <c r="B39" s="187" t="s">
        <v>331</v>
      </c>
      <c r="C39" s="187">
        <v>3</v>
      </c>
      <c r="D39" s="187">
        <v>33.299999999999997</v>
      </c>
      <c r="E39" s="193">
        <v>40885</v>
      </c>
      <c r="F39" s="187"/>
      <c r="G39" s="187">
        <v>65000</v>
      </c>
      <c r="H39" s="187">
        <v>1804</v>
      </c>
      <c r="I39" s="187">
        <v>65000</v>
      </c>
      <c r="J39" s="187">
        <v>0</v>
      </c>
      <c r="K39" s="187">
        <v>65000</v>
      </c>
      <c r="L39" s="187">
        <v>0</v>
      </c>
      <c r="N39" s="312">
        <v>10202</v>
      </c>
      <c r="O39" s="312" t="s">
        <v>920</v>
      </c>
      <c r="P39" s="312">
        <v>46</v>
      </c>
      <c r="Q39" s="312">
        <v>0</v>
      </c>
      <c r="R39" s="318">
        <v>43100</v>
      </c>
      <c r="S39" s="312"/>
      <c r="T39" s="312">
        <v>3536</v>
      </c>
      <c r="U39" s="312">
        <v>59</v>
      </c>
      <c r="V39" s="312">
        <v>2856</v>
      </c>
      <c r="W39" s="312">
        <v>680</v>
      </c>
      <c r="X39" s="312">
        <v>3536</v>
      </c>
      <c r="Y39" s="312">
        <v>0</v>
      </c>
    </row>
    <row r="40" spans="1:25" ht="15">
      <c r="A40" s="187" t="s">
        <v>332</v>
      </c>
      <c r="B40" s="187" t="s">
        <v>333</v>
      </c>
      <c r="C40" s="187">
        <v>3</v>
      </c>
      <c r="D40" s="187">
        <v>10</v>
      </c>
      <c r="E40" s="193">
        <v>41646</v>
      </c>
      <c r="F40" s="187"/>
      <c r="G40" s="187">
        <v>87600</v>
      </c>
      <c r="H40" s="187">
        <v>730</v>
      </c>
      <c r="I40" s="187">
        <v>69350</v>
      </c>
      <c r="J40" s="187">
        <v>8760</v>
      </c>
      <c r="K40" s="187">
        <v>78110</v>
      </c>
      <c r="L40" s="187">
        <v>9490</v>
      </c>
      <c r="N40" s="312">
        <v>10203</v>
      </c>
      <c r="O40" s="312" t="s">
        <v>921</v>
      </c>
      <c r="P40" s="312">
        <v>46</v>
      </c>
      <c r="Q40" s="312">
        <v>0</v>
      </c>
      <c r="R40" s="318">
        <v>43100</v>
      </c>
      <c r="S40" s="312"/>
      <c r="T40" s="312">
        <v>18428</v>
      </c>
      <c r="U40" s="312">
        <v>308</v>
      </c>
      <c r="V40" s="312">
        <v>14751</v>
      </c>
      <c r="W40" s="312">
        <v>3677</v>
      </c>
      <c r="X40" s="312">
        <v>18428</v>
      </c>
      <c r="Y40" s="312">
        <v>0</v>
      </c>
    </row>
    <row r="41" spans="1:25" ht="15">
      <c r="A41" s="187">
        <v>14111</v>
      </c>
      <c r="B41" s="187" t="s">
        <v>334</v>
      </c>
      <c r="C41" s="187">
        <v>3</v>
      </c>
      <c r="D41" s="187">
        <v>20</v>
      </c>
      <c r="E41" s="193">
        <v>42576</v>
      </c>
      <c r="F41" s="187"/>
      <c r="G41" s="187">
        <v>115999</v>
      </c>
      <c r="H41" s="187">
        <v>1934</v>
      </c>
      <c r="I41" s="187">
        <v>115999</v>
      </c>
      <c r="J41" s="187">
        <v>0</v>
      </c>
      <c r="K41" s="187">
        <v>115999</v>
      </c>
      <c r="L41" s="187">
        <v>0</v>
      </c>
      <c r="N41" s="312">
        <v>10204</v>
      </c>
      <c r="O41" s="312" t="s">
        <v>922</v>
      </c>
      <c r="P41" s="312">
        <v>46</v>
      </c>
      <c r="Q41" s="312">
        <v>0</v>
      </c>
      <c r="R41" s="318">
        <v>43100</v>
      </c>
      <c r="S41" s="312"/>
      <c r="T41" s="312">
        <v>22617</v>
      </c>
      <c r="U41" s="312">
        <v>377</v>
      </c>
      <c r="V41" s="312">
        <v>18087</v>
      </c>
      <c r="W41" s="312">
        <v>4530</v>
      </c>
      <c r="X41" s="312">
        <v>22617</v>
      </c>
      <c r="Y41" s="312">
        <v>0</v>
      </c>
    </row>
    <row r="42" spans="1:25" ht="15">
      <c r="A42" s="187">
        <v>14113</v>
      </c>
      <c r="B42" s="187" t="s">
        <v>335</v>
      </c>
      <c r="C42" s="187">
        <v>3</v>
      </c>
      <c r="D42" s="187">
        <v>20</v>
      </c>
      <c r="E42" s="193">
        <v>43073</v>
      </c>
      <c r="F42" s="187"/>
      <c r="G42" s="187">
        <v>65672</v>
      </c>
      <c r="H42" s="187">
        <v>1095</v>
      </c>
      <c r="I42" s="187">
        <v>52560</v>
      </c>
      <c r="J42" s="187">
        <v>13112</v>
      </c>
      <c r="K42" s="187">
        <v>65672</v>
      </c>
      <c r="L42" s="187">
        <v>0</v>
      </c>
      <c r="N42" s="312">
        <v>10205</v>
      </c>
      <c r="O42" s="312" t="s">
        <v>923</v>
      </c>
      <c r="P42" s="312">
        <v>46</v>
      </c>
      <c r="Q42" s="312">
        <v>0</v>
      </c>
      <c r="R42" s="318">
        <v>43100</v>
      </c>
      <c r="S42" s="312"/>
      <c r="T42" s="312">
        <v>10424</v>
      </c>
      <c r="U42" s="312">
        <v>174</v>
      </c>
      <c r="V42" s="312">
        <v>8364</v>
      </c>
      <c r="W42" s="312">
        <v>2060</v>
      </c>
      <c r="X42" s="312">
        <v>10424</v>
      </c>
      <c r="Y42" s="312">
        <v>0</v>
      </c>
    </row>
    <row r="43" spans="1:25" ht="15.75" thickBot="1">
      <c r="A43" s="187">
        <v>14114</v>
      </c>
      <c r="B43" s="187" t="s">
        <v>336</v>
      </c>
      <c r="C43" s="187">
        <v>3</v>
      </c>
      <c r="D43" s="187">
        <v>0</v>
      </c>
      <c r="E43" s="193">
        <v>43556</v>
      </c>
      <c r="F43" s="187"/>
      <c r="G43" s="187">
        <v>101800</v>
      </c>
      <c r="H43" s="187">
        <v>849</v>
      </c>
      <c r="I43" s="187">
        <v>27168</v>
      </c>
      <c r="J43" s="187">
        <v>10188</v>
      </c>
      <c r="K43" s="187">
        <v>37356</v>
      </c>
      <c r="L43" s="187">
        <v>64444</v>
      </c>
      <c r="N43" s="312">
        <v>10206</v>
      </c>
      <c r="O43" s="312" t="s">
        <v>924</v>
      </c>
      <c r="P43" s="312">
        <v>46</v>
      </c>
      <c r="Q43" s="312">
        <v>0</v>
      </c>
      <c r="R43" s="318">
        <v>43100</v>
      </c>
      <c r="S43" s="312"/>
      <c r="T43" s="312">
        <v>1471</v>
      </c>
      <c r="U43" s="312">
        <v>25</v>
      </c>
      <c r="V43" s="312">
        <v>1197</v>
      </c>
      <c r="W43" s="312">
        <v>274</v>
      </c>
      <c r="X43" s="312">
        <v>1471</v>
      </c>
      <c r="Y43" s="312">
        <v>0</v>
      </c>
    </row>
    <row r="44" spans="1:25" ht="16.5" thickTop="1" thickBot="1">
      <c r="A44" s="187">
        <v>14115</v>
      </c>
      <c r="B44" s="187" t="s">
        <v>337</v>
      </c>
      <c r="C44" s="187">
        <v>3</v>
      </c>
      <c r="D44" s="187">
        <v>0</v>
      </c>
      <c r="E44" s="193">
        <v>43558</v>
      </c>
      <c r="F44" s="187"/>
      <c r="G44" s="187">
        <v>158000</v>
      </c>
      <c r="H44" s="187">
        <v>2634</v>
      </c>
      <c r="I44" s="187">
        <v>84288</v>
      </c>
      <c r="J44" s="187">
        <v>31608</v>
      </c>
      <c r="K44" s="187">
        <v>115896</v>
      </c>
      <c r="L44" s="187">
        <v>42104</v>
      </c>
      <c r="N44" s="317" t="s">
        <v>925</v>
      </c>
      <c r="O44" s="317"/>
      <c r="P44" s="317"/>
      <c r="Q44" s="317"/>
      <c r="R44" s="317"/>
      <c r="S44" s="317"/>
      <c r="T44" s="317">
        <v>80302</v>
      </c>
      <c r="U44" s="317">
        <v>1342</v>
      </c>
      <c r="V44" s="317">
        <v>64362</v>
      </c>
      <c r="W44" s="317">
        <v>15940</v>
      </c>
      <c r="X44" s="317">
        <v>80302</v>
      </c>
      <c r="Y44" s="317">
        <v>0</v>
      </c>
    </row>
    <row r="45" spans="1:25" ht="15.75" thickTop="1">
      <c r="A45" s="187">
        <v>16506</v>
      </c>
      <c r="B45" s="187" t="s">
        <v>338</v>
      </c>
      <c r="C45" s="187">
        <v>3</v>
      </c>
      <c r="D45" s="187">
        <v>0</v>
      </c>
      <c r="E45" s="193">
        <v>43658</v>
      </c>
      <c r="F45" s="187"/>
      <c r="G45" s="187">
        <v>333000</v>
      </c>
      <c r="H45" s="187">
        <v>5550</v>
      </c>
      <c r="I45" s="187">
        <v>160950</v>
      </c>
      <c r="J45" s="187">
        <v>66600</v>
      </c>
      <c r="K45" s="187">
        <v>227550</v>
      </c>
      <c r="L45" s="187">
        <v>105450</v>
      </c>
      <c r="N45" s="312" t="s">
        <v>926</v>
      </c>
      <c r="O45" s="312" t="s">
        <v>927</v>
      </c>
      <c r="P45" s="312">
        <v>51</v>
      </c>
      <c r="Q45" s="312">
        <v>0</v>
      </c>
      <c r="R45" s="318">
        <v>43768</v>
      </c>
      <c r="S45" s="312"/>
      <c r="T45" s="312">
        <v>100733.71999999999</v>
      </c>
      <c r="U45" s="312">
        <v>1400</v>
      </c>
      <c r="V45" s="312">
        <v>83344</v>
      </c>
      <c r="W45" s="312">
        <v>16800</v>
      </c>
      <c r="X45" s="312">
        <v>100144</v>
      </c>
      <c r="Y45" s="312">
        <v>589.71999999999991</v>
      </c>
    </row>
    <row r="46" spans="1:25" ht="15">
      <c r="A46" s="187">
        <v>16514</v>
      </c>
      <c r="B46" s="187" t="s">
        <v>339</v>
      </c>
      <c r="C46" s="187">
        <v>3</v>
      </c>
      <c r="D46" s="187">
        <v>0</v>
      </c>
      <c r="E46" s="193">
        <v>44531</v>
      </c>
      <c r="F46" s="187"/>
      <c r="G46" s="187">
        <v>109637.59</v>
      </c>
      <c r="H46" s="187">
        <v>1828</v>
      </c>
      <c r="I46" s="187">
        <v>0</v>
      </c>
      <c r="J46" s="187">
        <v>21936</v>
      </c>
      <c r="K46" s="187">
        <v>21936</v>
      </c>
      <c r="L46" s="187">
        <v>87701.59</v>
      </c>
      <c r="N46" s="312" t="s">
        <v>928</v>
      </c>
      <c r="O46" s="312" t="s">
        <v>929</v>
      </c>
      <c r="P46" s="312">
        <v>51</v>
      </c>
      <c r="Q46" s="312">
        <v>0</v>
      </c>
      <c r="R46" s="318">
        <v>43768</v>
      </c>
      <c r="S46" s="312"/>
      <c r="T46" s="312">
        <v>32058.109999999997</v>
      </c>
      <c r="U46" s="312">
        <v>446</v>
      </c>
      <c r="V46" s="312">
        <v>23820</v>
      </c>
      <c r="W46" s="312">
        <v>5352</v>
      </c>
      <c r="X46" s="312">
        <v>29172</v>
      </c>
      <c r="Y46" s="312">
        <v>2886.1099999999997</v>
      </c>
    </row>
    <row r="47" spans="1:25" ht="15.75" thickBot="1">
      <c r="A47" s="194">
        <v>221006</v>
      </c>
      <c r="B47" s="194" t="s">
        <v>340</v>
      </c>
      <c r="C47" s="194">
        <v>3</v>
      </c>
      <c r="D47" s="194">
        <v>10</v>
      </c>
      <c r="E47" s="195">
        <v>44712</v>
      </c>
      <c r="F47" s="194"/>
      <c r="G47" s="194">
        <v>58351</v>
      </c>
      <c r="H47" s="194">
        <v>487</v>
      </c>
      <c r="I47" s="194">
        <v>0</v>
      </c>
      <c r="J47" s="194">
        <v>3409</v>
      </c>
      <c r="K47" s="194">
        <v>3409</v>
      </c>
      <c r="L47" s="194">
        <v>54942</v>
      </c>
      <c r="M47" s="196" t="s">
        <v>773</v>
      </c>
      <c r="N47" s="312" t="s">
        <v>930</v>
      </c>
      <c r="O47" s="312" t="s">
        <v>931</v>
      </c>
      <c r="P47" s="312">
        <v>51</v>
      </c>
      <c r="Q47" s="312">
        <v>0</v>
      </c>
      <c r="R47" s="318">
        <v>43768</v>
      </c>
      <c r="S47" s="312"/>
      <c r="T47" s="312">
        <v>37751.75</v>
      </c>
      <c r="U47" s="312">
        <v>525</v>
      </c>
      <c r="V47" s="312">
        <v>31242</v>
      </c>
      <c r="W47" s="312">
        <v>6300</v>
      </c>
      <c r="X47" s="312">
        <v>37542</v>
      </c>
      <c r="Y47" s="312">
        <v>209.75</v>
      </c>
    </row>
    <row r="48" spans="1:25" ht="16.5" thickTop="1" thickBot="1">
      <c r="A48" s="192" t="s">
        <v>341</v>
      </c>
      <c r="B48" s="192"/>
      <c r="C48" s="192"/>
      <c r="D48" s="192"/>
      <c r="E48" s="192"/>
      <c r="F48" s="192"/>
      <c r="G48" s="192">
        <v>1849142.59</v>
      </c>
      <c r="H48" s="192">
        <v>25259</v>
      </c>
      <c r="I48" s="192">
        <v>1329398</v>
      </c>
      <c r="J48" s="192">
        <v>155613</v>
      </c>
      <c r="K48" s="192">
        <v>1485011</v>
      </c>
      <c r="L48" s="192">
        <v>364131.58999999997</v>
      </c>
      <c r="N48" s="312" t="s">
        <v>932</v>
      </c>
      <c r="O48" s="312" t="s">
        <v>933</v>
      </c>
      <c r="P48" s="312">
        <v>51</v>
      </c>
      <c r="Q48" s="312">
        <v>0</v>
      </c>
      <c r="R48" s="318">
        <v>43768</v>
      </c>
      <c r="S48" s="312"/>
      <c r="T48" s="312">
        <v>242295.53999999998</v>
      </c>
      <c r="U48" s="312">
        <v>3366</v>
      </c>
      <c r="V48" s="312">
        <v>121024</v>
      </c>
      <c r="W48" s="312">
        <v>34762</v>
      </c>
      <c r="X48" s="312">
        <v>155786</v>
      </c>
      <c r="Y48" s="312">
        <v>86509.54</v>
      </c>
    </row>
    <row r="49" spans="1:25" ht="16.5" thickTop="1" thickBot="1">
      <c r="A49" s="187" t="s">
        <v>342</v>
      </c>
      <c r="B49" s="187" t="s">
        <v>343</v>
      </c>
      <c r="C49" s="187">
        <v>4</v>
      </c>
      <c r="D49" s="187">
        <v>2</v>
      </c>
      <c r="E49" s="193">
        <v>42320</v>
      </c>
      <c r="F49" s="187"/>
      <c r="G49" s="187">
        <v>1649362</v>
      </c>
      <c r="H49" s="187">
        <v>2749</v>
      </c>
      <c r="I49" s="187">
        <v>30884</v>
      </c>
      <c r="J49" s="187">
        <v>32988</v>
      </c>
      <c r="K49" s="187">
        <v>63872</v>
      </c>
      <c r="L49" s="187">
        <v>1585490</v>
      </c>
      <c r="N49" s="319">
        <v>13424</v>
      </c>
      <c r="O49" s="312" t="s">
        <v>934</v>
      </c>
      <c r="P49" s="312">
        <v>51</v>
      </c>
      <c r="Q49" s="312">
        <v>0</v>
      </c>
      <c r="R49" s="318">
        <v>43768</v>
      </c>
      <c r="S49" s="312"/>
      <c r="T49" s="312">
        <v>15704.73</v>
      </c>
      <c r="U49" s="312">
        <v>219</v>
      </c>
      <c r="V49" s="312">
        <v>13014</v>
      </c>
      <c r="W49" s="312">
        <v>2628</v>
      </c>
      <c r="X49" s="312">
        <v>15642</v>
      </c>
      <c r="Y49" s="312">
        <v>62.73</v>
      </c>
    </row>
    <row r="50" spans="1:25" ht="16.5" thickTop="1" thickBot="1">
      <c r="A50" s="187" t="s">
        <v>344</v>
      </c>
      <c r="B50" s="187" t="s">
        <v>345</v>
      </c>
      <c r="C50" s="187">
        <v>4</v>
      </c>
      <c r="D50" s="187">
        <v>2</v>
      </c>
      <c r="E50" s="193">
        <v>42320</v>
      </c>
      <c r="F50" s="187"/>
      <c r="G50" s="187">
        <v>2968</v>
      </c>
      <c r="H50" s="187">
        <v>5</v>
      </c>
      <c r="I50" s="187">
        <v>365</v>
      </c>
      <c r="J50" s="187">
        <v>60</v>
      </c>
      <c r="K50" s="187">
        <v>425</v>
      </c>
      <c r="L50" s="187">
        <v>2543</v>
      </c>
      <c r="N50" s="317" t="s">
        <v>935</v>
      </c>
      <c r="O50" s="317"/>
      <c r="P50" s="317"/>
      <c r="Q50" s="317"/>
      <c r="R50" s="317"/>
      <c r="S50" s="317"/>
      <c r="T50" s="317">
        <v>428543.85</v>
      </c>
      <c r="U50" s="317">
        <v>5956</v>
      </c>
      <c r="V50" s="317">
        <v>272444</v>
      </c>
      <c r="W50" s="317">
        <v>65842</v>
      </c>
      <c r="X50" s="317">
        <v>338286</v>
      </c>
      <c r="Y50" s="317">
        <v>90257.849999999991</v>
      </c>
    </row>
    <row r="51" spans="1:25" ht="16.5" thickTop="1" thickBot="1">
      <c r="A51" s="192" t="s">
        <v>346</v>
      </c>
      <c r="B51" s="192"/>
      <c r="C51" s="192"/>
      <c r="D51" s="192"/>
      <c r="E51" s="192"/>
      <c r="F51" s="192"/>
      <c r="G51" s="192">
        <v>1652330</v>
      </c>
      <c r="H51" s="192">
        <v>2754</v>
      </c>
      <c r="I51" s="192">
        <v>31249</v>
      </c>
      <c r="J51" s="192">
        <v>33048</v>
      </c>
      <c r="K51" s="192">
        <v>64297</v>
      </c>
      <c r="L51" s="192">
        <v>1588033</v>
      </c>
      <c r="N51" s="315" t="s">
        <v>159</v>
      </c>
      <c r="O51" s="315"/>
      <c r="P51" s="315"/>
      <c r="Q51" s="315"/>
      <c r="R51" s="315"/>
      <c r="S51" s="315"/>
      <c r="T51" s="309">
        <v>3422128.85</v>
      </c>
      <c r="U51" s="309">
        <v>71874</v>
      </c>
      <c r="V51" s="309">
        <v>2923916</v>
      </c>
      <c r="W51" s="309">
        <v>350237</v>
      </c>
      <c r="X51" s="309">
        <v>3274153</v>
      </c>
      <c r="Y51" s="310">
        <v>147975.85</v>
      </c>
    </row>
    <row r="52" spans="1:25" ht="16.5" thickTop="1" thickBot="1">
      <c r="A52" s="187">
        <v>16500</v>
      </c>
      <c r="B52" s="187" t="s">
        <v>347</v>
      </c>
      <c r="C52" s="187">
        <v>6</v>
      </c>
      <c r="D52" s="187">
        <v>0</v>
      </c>
      <c r="E52" s="193">
        <v>43739</v>
      </c>
      <c r="F52" s="187"/>
      <c r="G52" s="187">
        <v>1000</v>
      </c>
      <c r="H52" s="187">
        <v>84</v>
      </c>
      <c r="I52" s="187">
        <v>1000</v>
      </c>
      <c r="J52" s="187">
        <v>0</v>
      </c>
      <c r="K52" s="187">
        <v>1000</v>
      </c>
      <c r="L52" s="187">
        <v>0</v>
      </c>
      <c r="N52" s="312" t="s">
        <v>772</v>
      </c>
      <c r="O52" s="312"/>
      <c r="P52" s="312"/>
      <c r="Q52" s="312"/>
      <c r="R52" s="312"/>
      <c r="S52" s="312"/>
      <c r="T52" s="312"/>
      <c r="U52" s="312"/>
      <c r="V52" s="312"/>
      <c r="W52" s="312"/>
      <c r="X52" s="312"/>
      <c r="Y52" s="312"/>
    </row>
    <row r="53" spans="1:25" ht="16.5" thickTop="1" thickBot="1">
      <c r="A53" s="192" t="s">
        <v>348</v>
      </c>
      <c r="B53" s="192"/>
      <c r="C53" s="192"/>
      <c r="D53" s="192"/>
      <c r="E53" s="192"/>
      <c r="F53" s="192"/>
      <c r="G53" s="192">
        <v>1000</v>
      </c>
      <c r="H53" s="192">
        <v>84</v>
      </c>
      <c r="I53" s="192">
        <v>1000</v>
      </c>
      <c r="J53" s="192">
        <v>0</v>
      </c>
      <c r="K53" s="192">
        <v>1000</v>
      </c>
      <c r="L53" s="192">
        <v>0</v>
      </c>
    </row>
    <row r="54" spans="1:25" ht="15.75" thickTop="1">
      <c r="A54" s="187">
        <v>15257</v>
      </c>
      <c r="B54" s="187" t="s">
        <v>349</v>
      </c>
      <c r="C54" s="187">
        <v>7</v>
      </c>
      <c r="D54" s="187">
        <v>20</v>
      </c>
      <c r="E54" s="193">
        <v>41604</v>
      </c>
      <c r="F54" s="187"/>
      <c r="G54" s="187">
        <v>2938</v>
      </c>
      <c r="H54" s="187">
        <v>49</v>
      </c>
      <c r="I54" s="187">
        <v>2938</v>
      </c>
      <c r="J54" s="187">
        <v>0</v>
      </c>
      <c r="K54" s="187">
        <v>2938</v>
      </c>
      <c r="L54" s="187">
        <v>0</v>
      </c>
    </row>
    <row r="55" spans="1:25" ht="15">
      <c r="A55" s="187">
        <v>15258</v>
      </c>
      <c r="B55" s="187" t="s">
        <v>350</v>
      </c>
      <c r="C55" s="187">
        <v>7</v>
      </c>
      <c r="D55" s="187">
        <v>20</v>
      </c>
      <c r="E55" s="193">
        <v>41604</v>
      </c>
      <c r="F55" s="187"/>
      <c r="G55" s="187">
        <v>865</v>
      </c>
      <c r="H55" s="187">
        <v>15</v>
      </c>
      <c r="I55" s="187">
        <v>865</v>
      </c>
      <c r="J55" s="187">
        <v>0</v>
      </c>
      <c r="K55" s="187">
        <v>865</v>
      </c>
      <c r="L55" s="187">
        <v>0</v>
      </c>
    </row>
    <row r="56" spans="1:25" ht="15">
      <c r="A56" s="187">
        <v>15259</v>
      </c>
      <c r="B56" s="187" t="s">
        <v>351</v>
      </c>
      <c r="C56" s="187">
        <v>7</v>
      </c>
      <c r="D56" s="187">
        <v>20</v>
      </c>
      <c r="E56" s="193">
        <v>41604</v>
      </c>
      <c r="F56" s="187"/>
      <c r="G56" s="187">
        <v>3890</v>
      </c>
      <c r="H56" s="187">
        <v>65</v>
      </c>
      <c r="I56" s="187">
        <v>3890</v>
      </c>
      <c r="J56" s="187">
        <v>0</v>
      </c>
      <c r="K56" s="187">
        <v>3890</v>
      </c>
      <c r="L56" s="187">
        <v>0</v>
      </c>
    </row>
    <row r="57" spans="1:25" ht="15">
      <c r="A57" s="187">
        <v>15260</v>
      </c>
      <c r="B57" s="187" t="s">
        <v>352</v>
      </c>
      <c r="C57" s="187">
        <v>7</v>
      </c>
      <c r="D57" s="187">
        <v>20</v>
      </c>
      <c r="E57" s="193">
        <v>41604</v>
      </c>
      <c r="F57" s="187"/>
      <c r="G57" s="187">
        <v>2938</v>
      </c>
      <c r="H57" s="187">
        <v>49</v>
      </c>
      <c r="I57" s="187">
        <v>2938</v>
      </c>
      <c r="J57" s="187">
        <v>0</v>
      </c>
      <c r="K57" s="187">
        <v>2938</v>
      </c>
      <c r="L57" s="187">
        <v>0</v>
      </c>
    </row>
    <row r="58" spans="1:25" ht="15">
      <c r="A58" s="187">
        <v>15261</v>
      </c>
      <c r="B58" s="187" t="s">
        <v>353</v>
      </c>
      <c r="C58" s="187">
        <v>7</v>
      </c>
      <c r="D58" s="187">
        <v>20</v>
      </c>
      <c r="E58" s="193">
        <v>41604</v>
      </c>
      <c r="F58" s="187"/>
      <c r="G58" s="187">
        <v>865</v>
      </c>
      <c r="H58" s="187">
        <v>15</v>
      </c>
      <c r="I58" s="187">
        <v>865</v>
      </c>
      <c r="J58" s="187">
        <v>0</v>
      </c>
      <c r="K58" s="187">
        <v>865</v>
      </c>
      <c r="L58" s="187">
        <v>0</v>
      </c>
    </row>
    <row r="59" spans="1:25" ht="15">
      <c r="A59" s="187">
        <v>15262</v>
      </c>
      <c r="B59" s="187" t="s">
        <v>354</v>
      </c>
      <c r="C59" s="187">
        <v>7</v>
      </c>
      <c r="D59" s="187">
        <v>20</v>
      </c>
      <c r="E59" s="193">
        <v>41604</v>
      </c>
      <c r="F59" s="187"/>
      <c r="G59" s="187">
        <v>3890</v>
      </c>
      <c r="H59" s="187">
        <v>65</v>
      </c>
      <c r="I59" s="187">
        <v>3890</v>
      </c>
      <c r="J59" s="187">
        <v>0</v>
      </c>
      <c r="K59" s="187">
        <v>3890</v>
      </c>
      <c r="L59" s="187">
        <v>0</v>
      </c>
    </row>
    <row r="60" spans="1:25" ht="15">
      <c r="A60" s="187">
        <v>15263</v>
      </c>
      <c r="B60" s="187" t="s">
        <v>355</v>
      </c>
      <c r="C60" s="187">
        <v>7</v>
      </c>
      <c r="D60" s="187">
        <v>20</v>
      </c>
      <c r="E60" s="193">
        <v>41604</v>
      </c>
      <c r="F60" s="187"/>
      <c r="G60" s="187">
        <v>2938</v>
      </c>
      <c r="H60" s="187">
        <v>49</v>
      </c>
      <c r="I60" s="187">
        <v>2938</v>
      </c>
      <c r="J60" s="187">
        <v>0</v>
      </c>
      <c r="K60" s="187">
        <v>2938</v>
      </c>
      <c r="L60" s="187">
        <v>0</v>
      </c>
    </row>
    <row r="61" spans="1:25" ht="15">
      <c r="A61" s="187">
        <v>15264</v>
      </c>
      <c r="B61" s="187" t="s">
        <v>356</v>
      </c>
      <c r="C61" s="187">
        <v>7</v>
      </c>
      <c r="D61" s="187">
        <v>20</v>
      </c>
      <c r="E61" s="193">
        <v>41604</v>
      </c>
      <c r="F61" s="187"/>
      <c r="G61" s="187">
        <v>865</v>
      </c>
      <c r="H61" s="187">
        <v>15</v>
      </c>
      <c r="I61" s="187">
        <v>865</v>
      </c>
      <c r="J61" s="187">
        <v>0</v>
      </c>
      <c r="K61" s="187">
        <v>865</v>
      </c>
      <c r="L61" s="187">
        <v>0</v>
      </c>
    </row>
    <row r="62" spans="1:25" ht="15">
      <c r="A62" s="187">
        <v>15265</v>
      </c>
      <c r="B62" s="187" t="s">
        <v>357</v>
      </c>
      <c r="C62" s="187">
        <v>7</v>
      </c>
      <c r="D62" s="187">
        <v>20</v>
      </c>
      <c r="E62" s="193">
        <v>41604</v>
      </c>
      <c r="F62" s="187"/>
      <c r="G62" s="187">
        <v>3890</v>
      </c>
      <c r="H62" s="187">
        <v>65</v>
      </c>
      <c r="I62" s="187">
        <v>3890</v>
      </c>
      <c r="J62" s="187">
        <v>0</v>
      </c>
      <c r="K62" s="187">
        <v>3890</v>
      </c>
      <c r="L62" s="187">
        <v>0</v>
      </c>
    </row>
    <row r="63" spans="1:25" ht="15">
      <c r="A63" s="187">
        <v>15266</v>
      </c>
      <c r="B63" s="187" t="s">
        <v>358</v>
      </c>
      <c r="C63" s="187">
        <v>7</v>
      </c>
      <c r="D63" s="187">
        <v>20</v>
      </c>
      <c r="E63" s="193">
        <v>41604</v>
      </c>
      <c r="F63" s="187"/>
      <c r="G63" s="187">
        <v>12789</v>
      </c>
      <c r="H63" s="187">
        <v>214</v>
      </c>
      <c r="I63" s="187">
        <v>12789</v>
      </c>
      <c r="J63" s="187">
        <v>0</v>
      </c>
      <c r="K63" s="187">
        <v>12789</v>
      </c>
      <c r="L63" s="187">
        <v>0</v>
      </c>
    </row>
    <row r="64" spans="1:25" ht="15">
      <c r="A64" s="187">
        <v>15267</v>
      </c>
      <c r="B64" s="187" t="s">
        <v>359</v>
      </c>
      <c r="C64" s="187">
        <v>7</v>
      </c>
      <c r="D64" s="187">
        <v>20</v>
      </c>
      <c r="E64" s="193">
        <v>41604</v>
      </c>
      <c r="F64" s="187"/>
      <c r="G64" s="187">
        <v>1729</v>
      </c>
      <c r="H64" s="187">
        <v>29</v>
      </c>
      <c r="I64" s="187">
        <v>1729</v>
      </c>
      <c r="J64" s="187">
        <v>0</v>
      </c>
      <c r="K64" s="187">
        <v>1729</v>
      </c>
      <c r="L64" s="187">
        <v>0</v>
      </c>
    </row>
    <row r="65" spans="1:12" ht="15">
      <c r="A65" s="187">
        <v>15268</v>
      </c>
      <c r="B65" s="187" t="s">
        <v>360</v>
      </c>
      <c r="C65" s="187">
        <v>7</v>
      </c>
      <c r="D65" s="187">
        <v>20</v>
      </c>
      <c r="E65" s="193">
        <v>41604</v>
      </c>
      <c r="F65" s="187"/>
      <c r="G65" s="187">
        <v>1729</v>
      </c>
      <c r="H65" s="187">
        <v>29</v>
      </c>
      <c r="I65" s="187">
        <v>1729</v>
      </c>
      <c r="J65" s="187">
        <v>0</v>
      </c>
      <c r="K65" s="187">
        <v>1729</v>
      </c>
      <c r="L65" s="187">
        <v>0</v>
      </c>
    </row>
    <row r="66" spans="1:12" ht="15">
      <c r="A66" s="187">
        <v>15269</v>
      </c>
      <c r="B66" s="187" t="s">
        <v>361</v>
      </c>
      <c r="C66" s="187">
        <v>7</v>
      </c>
      <c r="D66" s="187">
        <v>20</v>
      </c>
      <c r="E66" s="193">
        <v>41604</v>
      </c>
      <c r="F66" s="187"/>
      <c r="G66" s="187">
        <v>1729</v>
      </c>
      <c r="H66" s="187">
        <v>29</v>
      </c>
      <c r="I66" s="187">
        <v>1729</v>
      </c>
      <c r="J66" s="187">
        <v>0</v>
      </c>
      <c r="K66" s="187">
        <v>1729</v>
      </c>
      <c r="L66" s="187">
        <v>0</v>
      </c>
    </row>
    <row r="67" spans="1:12" ht="15">
      <c r="A67" s="187">
        <v>15270</v>
      </c>
      <c r="B67" s="187" t="s">
        <v>362</v>
      </c>
      <c r="C67" s="187">
        <v>7</v>
      </c>
      <c r="D67" s="187">
        <v>20</v>
      </c>
      <c r="E67" s="193">
        <v>41604</v>
      </c>
      <c r="F67" s="187"/>
      <c r="G67" s="187">
        <v>861</v>
      </c>
      <c r="H67" s="187">
        <v>15</v>
      </c>
      <c r="I67" s="187">
        <v>861</v>
      </c>
      <c r="J67" s="187">
        <v>0</v>
      </c>
      <c r="K67" s="187">
        <v>861</v>
      </c>
      <c r="L67" s="187">
        <v>0</v>
      </c>
    </row>
    <row r="68" spans="1:12" ht="15">
      <c r="A68" s="187">
        <v>15271</v>
      </c>
      <c r="B68" s="187" t="s">
        <v>363</v>
      </c>
      <c r="C68" s="187">
        <v>7</v>
      </c>
      <c r="D68" s="187">
        <v>20</v>
      </c>
      <c r="E68" s="193">
        <v>41604</v>
      </c>
      <c r="F68" s="187"/>
      <c r="G68" s="187">
        <v>7777</v>
      </c>
      <c r="H68" s="187">
        <v>130</v>
      </c>
      <c r="I68" s="187">
        <v>7777</v>
      </c>
      <c r="J68" s="187">
        <v>0</v>
      </c>
      <c r="K68" s="187">
        <v>7777</v>
      </c>
      <c r="L68" s="187">
        <v>0</v>
      </c>
    </row>
    <row r="69" spans="1:12" ht="15">
      <c r="A69" s="187">
        <v>15272</v>
      </c>
      <c r="B69" s="187" t="s">
        <v>364</v>
      </c>
      <c r="C69" s="187">
        <v>7</v>
      </c>
      <c r="D69" s="187">
        <v>20</v>
      </c>
      <c r="E69" s="193">
        <v>41604</v>
      </c>
      <c r="F69" s="187"/>
      <c r="G69" s="187">
        <v>7777</v>
      </c>
      <c r="H69" s="187">
        <v>130</v>
      </c>
      <c r="I69" s="187">
        <v>7777</v>
      </c>
      <c r="J69" s="187">
        <v>0</v>
      </c>
      <c r="K69" s="187">
        <v>7777</v>
      </c>
      <c r="L69" s="187">
        <v>0</v>
      </c>
    </row>
    <row r="70" spans="1:12" ht="15.75" thickBot="1">
      <c r="A70" s="187">
        <v>16512</v>
      </c>
      <c r="B70" s="187" t="s">
        <v>365</v>
      </c>
      <c r="C70" s="187">
        <v>7</v>
      </c>
      <c r="D70" s="187">
        <v>0</v>
      </c>
      <c r="E70" s="193">
        <v>44440</v>
      </c>
      <c r="F70" s="187"/>
      <c r="G70" s="187">
        <v>10788200</v>
      </c>
      <c r="H70" s="187">
        <v>179804</v>
      </c>
      <c r="I70" s="187">
        <v>530412</v>
      </c>
      <c r="J70" s="187">
        <v>2157648</v>
      </c>
      <c r="K70" s="187">
        <v>2688060</v>
      </c>
      <c r="L70" s="187">
        <v>8100140</v>
      </c>
    </row>
    <row r="71" spans="1:12" ht="16.5" thickTop="1" thickBot="1">
      <c r="A71" s="192" t="s">
        <v>366</v>
      </c>
      <c r="B71" s="192"/>
      <c r="C71" s="192"/>
      <c r="D71" s="192"/>
      <c r="E71" s="192"/>
      <c r="F71" s="192"/>
      <c r="G71" s="192">
        <v>10845670</v>
      </c>
      <c r="H71" s="192">
        <v>180767</v>
      </c>
      <c r="I71" s="192">
        <v>587882</v>
      </c>
      <c r="J71" s="192">
        <v>2157648</v>
      </c>
      <c r="K71" s="192">
        <v>2745530</v>
      </c>
      <c r="L71" s="192">
        <v>8100140</v>
      </c>
    </row>
    <row r="72" spans="1:12" ht="15.75" thickTop="1">
      <c r="A72" s="187" t="s">
        <v>367</v>
      </c>
      <c r="B72" s="187" t="s">
        <v>368</v>
      </c>
      <c r="C72" s="187">
        <v>17</v>
      </c>
      <c r="D72" s="187">
        <v>3.3</v>
      </c>
      <c r="E72" s="193">
        <v>39263</v>
      </c>
      <c r="F72" s="187"/>
      <c r="G72" s="187">
        <v>3626286</v>
      </c>
      <c r="H72" s="187">
        <v>9973</v>
      </c>
      <c r="I72" s="187">
        <v>1735302</v>
      </c>
      <c r="J72" s="187">
        <v>119676</v>
      </c>
      <c r="K72" s="187">
        <v>1854978</v>
      </c>
      <c r="L72" s="187">
        <v>1771308</v>
      </c>
    </row>
    <row r="73" spans="1:12" ht="15.75" thickBot="1">
      <c r="A73" s="187" t="s">
        <v>369</v>
      </c>
      <c r="B73" s="187" t="s">
        <v>370</v>
      </c>
      <c r="C73" s="187">
        <v>17</v>
      </c>
      <c r="D73" s="187">
        <v>3.3</v>
      </c>
      <c r="E73" s="193">
        <v>40078</v>
      </c>
      <c r="F73" s="187"/>
      <c r="G73" s="187">
        <v>2858581</v>
      </c>
      <c r="H73" s="187">
        <v>7862</v>
      </c>
      <c r="I73" s="187">
        <v>1155714</v>
      </c>
      <c r="J73" s="187">
        <v>94344</v>
      </c>
      <c r="K73" s="187">
        <v>1250058</v>
      </c>
      <c r="L73" s="187">
        <v>1608523</v>
      </c>
    </row>
    <row r="74" spans="1:12" ht="16.5" thickTop="1" thickBot="1">
      <c r="A74" s="192" t="s">
        <v>371</v>
      </c>
      <c r="B74" s="192"/>
      <c r="C74" s="192"/>
      <c r="D74" s="192"/>
      <c r="E74" s="192"/>
      <c r="F74" s="192"/>
      <c r="G74" s="192">
        <v>6484867</v>
      </c>
      <c r="H74" s="192">
        <v>17835</v>
      </c>
      <c r="I74" s="192">
        <v>2891016</v>
      </c>
      <c r="J74" s="192">
        <v>214020</v>
      </c>
      <c r="K74" s="192">
        <v>3105036</v>
      </c>
      <c r="L74" s="192">
        <v>3379831</v>
      </c>
    </row>
    <row r="75" spans="1:12" ht="15.75" thickTop="1">
      <c r="A75" s="187" t="s">
        <v>372</v>
      </c>
      <c r="B75" s="187" t="s">
        <v>373</v>
      </c>
      <c r="C75" s="187">
        <v>21</v>
      </c>
      <c r="D75" s="187">
        <v>2</v>
      </c>
      <c r="E75" s="193">
        <v>28126</v>
      </c>
      <c r="F75" s="193">
        <v>44621</v>
      </c>
      <c r="G75" s="187">
        <v>3901</v>
      </c>
      <c r="H75" s="187">
        <v>7</v>
      </c>
      <c r="I75" s="187">
        <v>92</v>
      </c>
      <c r="J75" s="187">
        <v>1978</v>
      </c>
      <c r="K75" s="187">
        <v>2070</v>
      </c>
      <c r="L75" s="187">
        <v>1831</v>
      </c>
    </row>
    <row r="76" spans="1:12" ht="15">
      <c r="A76" s="187" t="s">
        <v>374</v>
      </c>
      <c r="B76" s="187" t="s">
        <v>375</v>
      </c>
      <c r="C76" s="187">
        <v>21</v>
      </c>
      <c r="D76" s="187">
        <v>3.1999999999999997</v>
      </c>
      <c r="E76" s="193">
        <v>38868</v>
      </c>
      <c r="F76" s="187"/>
      <c r="G76" s="187">
        <v>368620</v>
      </c>
      <c r="H76" s="187">
        <v>983</v>
      </c>
      <c r="I76" s="187">
        <v>183821</v>
      </c>
      <c r="J76" s="187">
        <v>11796</v>
      </c>
      <c r="K76" s="187">
        <v>195617</v>
      </c>
      <c r="L76" s="187">
        <v>173003</v>
      </c>
    </row>
    <row r="77" spans="1:12" ht="15">
      <c r="A77" s="187" t="s">
        <v>376</v>
      </c>
      <c r="B77" s="187" t="s">
        <v>377</v>
      </c>
      <c r="C77" s="187">
        <v>21</v>
      </c>
      <c r="D77" s="187">
        <v>3.3</v>
      </c>
      <c r="E77" s="193">
        <v>24818</v>
      </c>
      <c r="F77" s="187"/>
      <c r="G77" s="187">
        <v>399063</v>
      </c>
      <c r="H77" s="187">
        <v>1098</v>
      </c>
      <c r="I77" s="187">
        <v>139446</v>
      </c>
      <c r="J77" s="187">
        <v>13176</v>
      </c>
      <c r="K77" s="187">
        <v>152622</v>
      </c>
      <c r="L77" s="187">
        <v>246441</v>
      </c>
    </row>
    <row r="78" spans="1:12" ht="15">
      <c r="A78" s="187" t="s">
        <v>378</v>
      </c>
      <c r="B78" s="187" t="s">
        <v>379</v>
      </c>
      <c r="C78" s="187">
        <v>21</v>
      </c>
      <c r="D78" s="187">
        <v>2</v>
      </c>
      <c r="E78" s="193">
        <v>27025</v>
      </c>
      <c r="F78" s="187"/>
      <c r="G78" s="187">
        <v>189559</v>
      </c>
      <c r="H78" s="187">
        <v>316</v>
      </c>
      <c r="I78" s="187">
        <v>59271</v>
      </c>
      <c r="J78" s="187">
        <v>3792</v>
      </c>
      <c r="K78" s="187">
        <v>63063</v>
      </c>
      <c r="L78" s="187">
        <v>126496</v>
      </c>
    </row>
    <row r="79" spans="1:12" ht="15">
      <c r="A79" s="187" t="s">
        <v>380</v>
      </c>
      <c r="B79" s="187" t="s">
        <v>381</v>
      </c>
      <c r="C79" s="187">
        <v>21</v>
      </c>
      <c r="D79" s="187">
        <v>3.4</v>
      </c>
      <c r="E79" s="193">
        <v>28419</v>
      </c>
      <c r="F79" s="187"/>
      <c r="G79" s="187">
        <v>120257</v>
      </c>
      <c r="H79" s="187">
        <v>341</v>
      </c>
      <c r="I79" s="187">
        <v>95460</v>
      </c>
      <c r="J79" s="187">
        <v>4092</v>
      </c>
      <c r="K79" s="187">
        <v>99552</v>
      </c>
      <c r="L79" s="187">
        <v>20705</v>
      </c>
    </row>
    <row r="80" spans="1:12" ht="15">
      <c r="A80" s="187" t="s">
        <v>382</v>
      </c>
      <c r="B80" s="187" t="s">
        <v>383</v>
      </c>
      <c r="C80" s="187">
        <v>21</v>
      </c>
      <c r="D80" s="187">
        <v>4</v>
      </c>
      <c r="E80" s="193">
        <v>33512</v>
      </c>
      <c r="F80" s="187"/>
      <c r="G80" s="187">
        <v>179866</v>
      </c>
      <c r="H80" s="187">
        <v>600</v>
      </c>
      <c r="I80" s="187">
        <v>160550</v>
      </c>
      <c r="J80" s="187">
        <v>7200</v>
      </c>
      <c r="K80" s="187">
        <v>167750</v>
      </c>
      <c r="L80" s="187">
        <v>12116</v>
      </c>
    </row>
    <row r="81" spans="1:12" ht="15">
      <c r="A81" s="187" t="s">
        <v>384</v>
      </c>
      <c r="B81" s="187" t="s">
        <v>385</v>
      </c>
      <c r="C81" s="187">
        <v>21</v>
      </c>
      <c r="D81" s="187">
        <v>4</v>
      </c>
      <c r="E81" s="193">
        <v>33913</v>
      </c>
      <c r="F81" s="187"/>
      <c r="G81" s="187">
        <v>145670</v>
      </c>
      <c r="H81" s="187">
        <v>486</v>
      </c>
      <c r="I81" s="187">
        <v>139963</v>
      </c>
      <c r="J81" s="187">
        <v>5707</v>
      </c>
      <c r="K81" s="187">
        <v>145670</v>
      </c>
      <c r="L81" s="187">
        <v>0</v>
      </c>
    </row>
    <row r="82" spans="1:12" ht="15">
      <c r="A82" s="187" t="s">
        <v>386</v>
      </c>
      <c r="B82" s="187" t="s">
        <v>387</v>
      </c>
      <c r="C82" s="187">
        <v>21</v>
      </c>
      <c r="D82" s="187">
        <v>3.3</v>
      </c>
      <c r="E82" s="193">
        <v>43209</v>
      </c>
      <c r="F82" s="187"/>
      <c r="G82" s="187">
        <v>133048</v>
      </c>
      <c r="H82" s="187">
        <v>366</v>
      </c>
      <c r="I82" s="187">
        <v>16104</v>
      </c>
      <c r="J82" s="187">
        <v>4392</v>
      </c>
      <c r="K82" s="187">
        <v>20496</v>
      </c>
      <c r="L82" s="187">
        <v>112552</v>
      </c>
    </row>
    <row r="83" spans="1:12" ht="15">
      <c r="A83" s="187" t="s">
        <v>388</v>
      </c>
      <c r="B83" s="187" t="s">
        <v>389</v>
      </c>
      <c r="C83" s="187">
        <v>21</v>
      </c>
      <c r="D83" s="187">
        <v>3.3299999999999996</v>
      </c>
      <c r="E83" s="193">
        <v>43312</v>
      </c>
      <c r="F83" s="187"/>
      <c r="G83" s="187">
        <v>55288</v>
      </c>
      <c r="H83" s="187">
        <v>154</v>
      </c>
      <c r="I83" s="187">
        <v>6314</v>
      </c>
      <c r="J83" s="187">
        <v>1848</v>
      </c>
      <c r="K83" s="187">
        <v>8162</v>
      </c>
      <c r="L83" s="187">
        <v>47126</v>
      </c>
    </row>
    <row r="84" spans="1:12" ht="15.75" thickBot="1">
      <c r="A84" s="187" t="s">
        <v>390</v>
      </c>
      <c r="B84" s="187" t="s">
        <v>391</v>
      </c>
      <c r="C84" s="187">
        <v>21</v>
      </c>
      <c r="D84" s="187">
        <v>0</v>
      </c>
      <c r="E84" s="193">
        <v>43571</v>
      </c>
      <c r="F84" s="187"/>
      <c r="G84" s="187">
        <v>1001177</v>
      </c>
      <c r="H84" s="187">
        <v>2782</v>
      </c>
      <c r="I84" s="187">
        <v>89024</v>
      </c>
      <c r="J84" s="187">
        <v>33384</v>
      </c>
      <c r="K84" s="187">
        <v>122408</v>
      </c>
      <c r="L84" s="187">
        <v>878769</v>
      </c>
    </row>
    <row r="85" spans="1:12" ht="16.5" thickTop="1" thickBot="1">
      <c r="A85" s="192" t="s">
        <v>392</v>
      </c>
      <c r="B85" s="192"/>
      <c r="C85" s="192"/>
      <c r="D85" s="192"/>
      <c r="E85" s="192"/>
      <c r="F85" s="192"/>
      <c r="G85" s="192">
        <v>2596449</v>
      </c>
      <c r="H85" s="192">
        <v>7133</v>
      </c>
      <c r="I85" s="192">
        <v>890045</v>
      </c>
      <c r="J85" s="192">
        <v>87365</v>
      </c>
      <c r="K85" s="192">
        <v>977410</v>
      </c>
      <c r="L85" s="192">
        <v>1619039</v>
      </c>
    </row>
    <row r="86" spans="1:12" ht="15.75" thickTop="1">
      <c r="A86" s="187" t="s">
        <v>393</v>
      </c>
      <c r="B86" s="187" t="s">
        <v>394</v>
      </c>
      <c r="C86" s="187">
        <v>22</v>
      </c>
      <c r="D86" s="187">
        <v>0</v>
      </c>
      <c r="E86" s="193">
        <v>44270</v>
      </c>
      <c r="F86" s="187"/>
      <c r="G86" s="187">
        <v>18287504.549999997</v>
      </c>
      <c r="H86" s="187">
        <v>30480</v>
      </c>
      <c r="I86" s="187">
        <v>273231</v>
      </c>
      <c r="J86" s="187">
        <v>365639</v>
      </c>
      <c r="K86" s="187">
        <v>638870</v>
      </c>
      <c r="L86" s="187">
        <v>17648634.549999997</v>
      </c>
    </row>
    <row r="87" spans="1:12" ht="15">
      <c r="A87" s="187" t="s">
        <v>395</v>
      </c>
      <c r="B87" s="187" t="s">
        <v>396</v>
      </c>
      <c r="C87" s="187">
        <v>22</v>
      </c>
      <c r="D87" s="187">
        <v>2</v>
      </c>
      <c r="E87" s="193">
        <v>33239</v>
      </c>
      <c r="F87" s="187"/>
      <c r="G87" s="187">
        <v>6871075</v>
      </c>
      <c r="H87" s="187">
        <v>11452</v>
      </c>
      <c r="I87" s="187">
        <v>3124476</v>
      </c>
      <c r="J87" s="187">
        <v>137424</v>
      </c>
      <c r="K87" s="187">
        <v>3261900</v>
      </c>
      <c r="L87" s="187">
        <v>3609175</v>
      </c>
    </row>
    <row r="88" spans="1:12" ht="15">
      <c r="A88" s="187" t="s">
        <v>397</v>
      </c>
      <c r="B88" s="187" t="s">
        <v>398</v>
      </c>
      <c r="C88" s="187">
        <v>22</v>
      </c>
      <c r="D88" s="187">
        <v>4</v>
      </c>
      <c r="E88" s="193">
        <v>33239</v>
      </c>
      <c r="F88" s="187"/>
      <c r="G88" s="187">
        <v>3271522</v>
      </c>
      <c r="H88" s="187">
        <v>10906</v>
      </c>
      <c r="I88" s="187">
        <v>3103678</v>
      </c>
      <c r="J88" s="187">
        <v>130872</v>
      </c>
      <c r="K88" s="187">
        <v>3234550</v>
      </c>
      <c r="L88" s="187">
        <v>36972</v>
      </c>
    </row>
    <row r="89" spans="1:12" ht="15">
      <c r="A89" s="187" t="s">
        <v>399</v>
      </c>
      <c r="B89" s="187" t="s">
        <v>400</v>
      </c>
      <c r="C89" s="187">
        <v>22</v>
      </c>
      <c r="D89" s="187">
        <v>2</v>
      </c>
      <c r="E89" s="193">
        <v>33512</v>
      </c>
      <c r="F89" s="187"/>
      <c r="G89" s="187">
        <v>4730245</v>
      </c>
      <c r="H89" s="187">
        <v>7884</v>
      </c>
      <c r="I89" s="187">
        <v>2146659</v>
      </c>
      <c r="J89" s="187">
        <v>94608</v>
      </c>
      <c r="K89" s="187">
        <v>2241267</v>
      </c>
      <c r="L89" s="187">
        <v>2488978</v>
      </c>
    </row>
    <row r="90" spans="1:12" ht="15">
      <c r="A90" s="187" t="s">
        <v>401</v>
      </c>
      <c r="B90" s="187" t="s">
        <v>402</v>
      </c>
      <c r="C90" s="187">
        <v>22</v>
      </c>
      <c r="D90" s="187">
        <v>2</v>
      </c>
      <c r="E90" s="193">
        <v>36160</v>
      </c>
      <c r="F90" s="187"/>
      <c r="G90" s="187">
        <v>299313</v>
      </c>
      <c r="H90" s="187">
        <v>499</v>
      </c>
      <c r="I90" s="187">
        <v>131724</v>
      </c>
      <c r="J90" s="187">
        <v>5988</v>
      </c>
      <c r="K90" s="187">
        <v>137712</v>
      </c>
      <c r="L90" s="187">
        <v>161601</v>
      </c>
    </row>
    <row r="91" spans="1:12" ht="15">
      <c r="A91" s="187" t="s">
        <v>403</v>
      </c>
      <c r="B91" s="187" t="s">
        <v>404</v>
      </c>
      <c r="C91" s="187">
        <v>22</v>
      </c>
      <c r="D91" s="187">
        <v>2</v>
      </c>
      <c r="E91" s="193">
        <v>33239</v>
      </c>
      <c r="F91" s="187"/>
      <c r="G91" s="187">
        <v>1781763</v>
      </c>
      <c r="H91" s="187">
        <v>2970</v>
      </c>
      <c r="I91" s="187">
        <v>791583</v>
      </c>
      <c r="J91" s="187">
        <v>35640</v>
      </c>
      <c r="K91" s="187">
        <v>827223</v>
      </c>
      <c r="L91" s="187">
        <v>954540</v>
      </c>
    </row>
    <row r="92" spans="1:12" ht="15">
      <c r="A92" s="187" t="s">
        <v>405</v>
      </c>
      <c r="B92" s="187" t="s">
        <v>406</v>
      </c>
      <c r="C92" s="187">
        <v>22</v>
      </c>
      <c r="D92" s="187">
        <v>2</v>
      </c>
      <c r="E92" s="193">
        <v>33239</v>
      </c>
      <c r="F92" s="187"/>
      <c r="G92" s="187">
        <v>480236</v>
      </c>
      <c r="H92" s="187">
        <v>801</v>
      </c>
      <c r="I92" s="187">
        <v>220575</v>
      </c>
      <c r="J92" s="187">
        <v>9612</v>
      </c>
      <c r="K92" s="187">
        <v>230187</v>
      </c>
      <c r="L92" s="187">
        <v>250049</v>
      </c>
    </row>
    <row r="93" spans="1:12" ht="15">
      <c r="A93" s="187" t="s">
        <v>407</v>
      </c>
      <c r="B93" s="187" t="s">
        <v>408</v>
      </c>
      <c r="C93" s="187">
        <v>22</v>
      </c>
      <c r="D93" s="187">
        <v>2</v>
      </c>
      <c r="E93" s="193">
        <v>33239</v>
      </c>
      <c r="F93" s="187"/>
      <c r="G93" s="187">
        <v>49476</v>
      </c>
      <c r="H93" s="187">
        <v>83</v>
      </c>
      <c r="I93" s="187">
        <v>22855</v>
      </c>
      <c r="J93" s="187">
        <v>996</v>
      </c>
      <c r="K93" s="187">
        <v>23851</v>
      </c>
      <c r="L93" s="187">
        <v>25625</v>
      </c>
    </row>
    <row r="94" spans="1:12" ht="15">
      <c r="A94" s="187" t="s">
        <v>409</v>
      </c>
      <c r="B94" s="187" t="s">
        <v>410</v>
      </c>
      <c r="C94" s="187">
        <v>22</v>
      </c>
      <c r="D94" s="187">
        <v>2</v>
      </c>
      <c r="E94" s="193">
        <v>33239</v>
      </c>
      <c r="F94" s="187"/>
      <c r="G94" s="187">
        <v>2746100</v>
      </c>
      <c r="H94" s="187">
        <v>4577</v>
      </c>
      <c r="I94" s="187">
        <v>1177534</v>
      </c>
      <c r="J94" s="187">
        <v>54924</v>
      </c>
      <c r="K94" s="187">
        <v>1232458</v>
      </c>
      <c r="L94" s="187">
        <v>1513642</v>
      </c>
    </row>
    <row r="95" spans="1:12" ht="15">
      <c r="A95" s="187" t="s">
        <v>411</v>
      </c>
      <c r="B95" s="187" t="s">
        <v>412</v>
      </c>
      <c r="C95" s="187">
        <v>22</v>
      </c>
      <c r="D95" s="187">
        <v>2</v>
      </c>
      <c r="E95" s="193">
        <v>33239</v>
      </c>
      <c r="F95" s="187"/>
      <c r="G95" s="187">
        <v>138472</v>
      </c>
      <c r="H95" s="187">
        <v>231</v>
      </c>
      <c r="I95" s="187">
        <v>63612</v>
      </c>
      <c r="J95" s="187">
        <v>2772</v>
      </c>
      <c r="K95" s="187">
        <v>66384</v>
      </c>
      <c r="L95" s="187">
        <v>72088</v>
      </c>
    </row>
    <row r="96" spans="1:12" ht="15">
      <c r="A96" s="187" t="s">
        <v>413</v>
      </c>
      <c r="B96" s="187" t="s">
        <v>414</v>
      </c>
      <c r="C96" s="187">
        <v>22</v>
      </c>
      <c r="D96" s="187">
        <v>2</v>
      </c>
      <c r="E96" s="193">
        <v>33239</v>
      </c>
      <c r="F96" s="187"/>
      <c r="G96" s="187">
        <v>171818</v>
      </c>
      <c r="H96" s="187">
        <v>287</v>
      </c>
      <c r="I96" s="187">
        <v>80061</v>
      </c>
      <c r="J96" s="187">
        <v>3444</v>
      </c>
      <c r="K96" s="187">
        <v>83505</v>
      </c>
      <c r="L96" s="187">
        <v>88313</v>
      </c>
    </row>
    <row r="97" spans="1:12" ht="15">
      <c r="A97" s="187" t="s">
        <v>415</v>
      </c>
      <c r="B97" s="187" t="s">
        <v>416</v>
      </c>
      <c r="C97" s="187">
        <v>22</v>
      </c>
      <c r="D97" s="187">
        <v>5</v>
      </c>
      <c r="E97" s="193">
        <v>33239</v>
      </c>
      <c r="F97" s="187"/>
      <c r="G97" s="187">
        <v>389496</v>
      </c>
      <c r="H97" s="187">
        <v>1623</v>
      </c>
      <c r="I97" s="187">
        <v>389496</v>
      </c>
      <c r="J97" s="187">
        <v>0</v>
      </c>
      <c r="K97" s="187">
        <v>389496</v>
      </c>
      <c r="L97" s="187">
        <v>0</v>
      </c>
    </row>
    <row r="98" spans="1:12" ht="15">
      <c r="A98" s="187" t="s">
        <v>417</v>
      </c>
      <c r="B98" s="187" t="s">
        <v>418</v>
      </c>
      <c r="C98" s="187">
        <v>22</v>
      </c>
      <c r="D98" s="187">
        <v>2</v>
      </c>
      <c r="E98" s="193">
        <v>33239</v>
      </c>
      <c r="F98" s="187"/>
      <c r="G98" s="187">
        <v>1071950</v>
      </c>
      <c r="H98" s="187">
        <v>1787</v>
      </c>
      <c r="I98" s="187">
        <v>498563</v>
      </c>
      <c r="J98" s="187">
        <v>21444</v>
      </c>
      <c r="K98" s="187">
        <v>520007</v>
      </c>
      <c r="L98" s="187">
        <v>551943</v>
      </c>
    </row>
    <row r="99" spans="1:12" ht="15">
      <c r="A99" s="187" t="s">
        <v>419</v>
      </c>
      <c r="B99" s="187" t="s">
        <v>420</v>
      </c>
      <c r="C99" s="187">
        <v>22</v>
      </c>
      <c r="D99" s="187">
        <v>3.3</v>
      </c>
      <c r="E99" s="193">
        <v>33239</v>
      </c>
      <c r="F99" s="187"/>
      <c r="G99" s="187">
        <v>253803</v>
      </c>
      <c r="H99" s="187">
        <v>698</v>
      </c>
      <c r="I99" s="187">
        <v>201023</v>
      </c>
      <c r="J99" s="187">
        <v>8376</v>
      </c>
      <c r="K99" s="187">
        <v>209399</v>
      </c>
      <c r="L99" s="187">
        <v>44404</v>
      </c>
    </row>
    <row r="100" spans="1:12" ht="15">
      <c r="A100" s="187" t="s">
        <v>421</v>
      </c>
      <c r="B100" s="187" t="s">
        <v>422</v>
      </c>
      <c r="C100" s="187">
        <v>22</v>
      </c>
      <c r="D100" s="187">
        <v>5</v>
      </c>
      <c r="E100" s="193">
        <v>33239</v>
      </c>
      <c r="F100" s="187"/>
      <c r="G100" s="187">
        <v>46415</v>
      </c>
      <c r="H100" s="187">
        <v>194</v>
      </c>
      <c r="I100" s="187">
        <v>46415</v>
      </c>
      <c r="J100" s="187">
        <v>0</v>
      </c>
      <c r="K100" s="187">
        <v>46415</v>
      </c>
      <c r="L100" s="187">
        <v>0</v>
      </c>
    </row>
    <row r="101" spans="1:12" ht="15">
      <c r="A101" s="187" t="s">
        <v>423</v>
      </c>
      <c r="B101" s="187" t="s">
        <v>424</v>
      </c>
      <c r="C101" s="187">
        <v>22</v>
      </c>
      <c r="D101" s="187">
        <v>5</v>
      </c>
      <c r="E101" s="193">
        <v>33239</v>
      </c>
      <c r="F101" s="187"/>
      <c r="G101" s="187">
        <v>15531</v>
      </c>
      <c r="H101" s="187">
        <v>65</v>
      </c>
      <c r="I101" s="187">
        <v>15531</v>
      </c>
      <c r="J101" s="187">
        <v>0</v>
      </c>
      <c r="K101" s="187">
        <v>15531</v>
      </c>
      <c r="L101" s="187">
        <v>0</v>
      </c>
    </row>
    <row r="102" spans="1:12" ht="15">
      <c r="A102" s="187" t="s">
        <v>425</v>
      </c>
      <c r="B102" s="187" t="s">
        <v>426</v>
      </c>
      <c r="C102" s="187">
        <v>22</v>
      </c>
      <c r="D102" s="187">
        <v>3.3</v>
      </c>
      <c r="E102" s="193">
        <v>33239</v>
      </c>
      <c r="F102" s="187"/>
      <c r="G102" s="187">
        <v>8542</v>
      </c>
      <c r="H102" s="187">
        <v>24</v>
      </c>
      <c r="I102" s="187">
        <v>6882</v>
      </c>
      <c r="J102" s="187">
        <v>288</v>
      </c>
      <c r="K102" s="187">
        <v>7170</v>
      </c>
      <c r="L102" s="187">
        <v>1372</v>
      </c>
    </row>
    <row r="103" spans="1:12" ht="15">
      <c r="A103" s="187" t="s">
        <v>427</v>
      </c>
      <c r="B103" s="187" t="s">
        <v>428</v>
      </c>
      <c r="C103" s="187">
        <v>22</v>
      </c>
      <c r="D103" s="187">
        <v>2</v>
      </c>
      <c r="E103" s="193">
        <v>33239</v>
      </c>
      <c r="F103" s="187"/>
      <c r="G103" s="187">
        <v>31379</v>
      </c>
      <c r="H103" s="187">
        <v>53</v>
      </c>
      <c r="I103" s="187">
        <v>14580</v>
      </c>
      <c r="J103" s="187">
        <v>636</v>
      </c>
      <c r="K103" s="187">
        <v>15216</v>
      </c>
      <c r="L103" s="187">
        <v>16163</v>
      </c>
    </row>
    <row r="104" spans="1:12" ht="15">
      <c r="A104" s="187" t="s">
        <v>429</v>
      </c>
      <c r="B104" s="187" t="s">
        <v>430</v>
      </c>
      <c r="C104" s="187">
        <v>22</v>
      </c>
      <c r="D104" s="187">
        <v>2</v>
      </c>
      <c r="E104" s="193">
        <v>33239</v>
      </c>
      <c r="F104" s="187"/>
      <c r="G104" s="187">
        <v>2493035</v>
      </c>
      <c r="H104" s="187">
        <v>4156</v>
      </c>
      <c r="I104" s="187">
        <v>1145715</v>
      </c>
      <c r="J104" s="187">
        <v>49872</v>
      </c>
      <c r="K104" s="187">
        <v>1195587</v>
      </c>
      <c r="L104" s="187">
        <v>1297448</v>
      </c>
    </row>
    <row r="105" spans="1:12" ht="15">
      <c r="A105" s="187" t="s">
        <v>431</v>
      </c>
      <c r="B105" s="187" t="s">
        <v>432</v>
      </c>
      <c r="C105" s="187">
        <v>22</v>
      </c>
      <c r="D105" s="187">
        <v>3.3</v>
      </c>
      <c r="E105" s="193">
        <v>32111</v>
      </c>
      <c r="F105" s="187"/>
      <c r="G105" s="187">
        <v>31781</v>
      </c>
      <c r="H105" s="187">
        <v>88</v>
      </c>
      <c r="I105" s="187">
        <v>25313</v>
      </c>
      <c r="J105" s="187">
        <v>1056</v>
      </c>
      <c r="K105" s="187">
        <v>26369</v>
      </c>
      <c r="L105" s="187">
        <v>5412</v>
      </c>
    </row>
    <row r="106" spans="1:12" ht="15">
      <c r="A106" s="187" t="s">
        <v>433</v>
      </c>
      <c r="B106" s="187" t="s">
        <v>434</v>
      </c>
      <c r="C106" s="187">
        <v>22</v>
      </c>
      <c r="D106" s="187">
        <v>2</v>
      </c>
      <c r="E106" s="193">
        <v>36160</v>
      </c>
      <c r="F106" s="187"/>
      <c r="G106" s="187">
        <v>258889</v>
      </c>
      <c r="H106" s="187">
        <v>432</v>
      </c>
      <c r="I106" s="187">
        <v>116112</v>
      </c>
      <c r="J106" s="187">
        <v>5184</v>
      </c>
      <c r="K106" s="187">
        <v>121296</v>
      </c>
      <c r="L106" s="187">
        <v>137593</v>
      </c>
    </row>
    <row r="107" spans="1:12" ht="15.75" thickBot="1">
      <c r="A107" s="187" t="s">
        <v>435</v>
      </c>
      <c r="B107" s="187" t="s">
        <v>436</v>
      </c>
      <c r="C107" s="187">
        <v>22</v>
      </c>
      <c r="D107" s="187">
        <v>5</v>
      </c>
      <c r="E107" s="193">
        <v>39909</v>
      </c>
      <c r="F107" s="187"/>
      <c r="G107" s="187">
        <v>47325</v>
      </c>
      <c r="H107" s="187">
        <v>198</v>
      </c>
      <c r="I107" s="187">
        <v>30051</v>
      </c>
      <c r="J107" s="187">
        <v>2376</v>
      </c>
      <c r="K107" s="187">
        <v>32427</v>
      </c>
      <c r="L107" s="187">
        <v>14898</v>
      </c>
    </row>
    <row r="108" spans="1:12" ht="16.5" thickTop="1" thickBot="1">
      <c r="A108" s="192" t="s">
        <v>437</v>
      </c>
      <c r="B108" s="192"/>
      <c r="C108" s="192"/>
      <c r="D108" s="192"/>
      <c r="E108" s="192"/>
      <c r="F108" s="192"/>
      <c r="G108" s="192">
        <v>43475670.549999997</v>
      </c>
      <c r="H108" s="192">
        <v>79488</v>
      </c>
      <c r="I108" s="192">
        <v>13625669</v>
      </c>
      <c r="J108" s="192">
        <v>931151</v>
      </c>
      <c r="K108" s="192">
        <v>14556820</v>
      </c>
      <c r="L108" s="192">
        <v>28918850.549999997</v>
      </c>
    </row>
    <row r="109" spans="1:12" ht="15.75" thickTop="1">
      <c r="A109" s="187" t="s">
        <v>438</v>
      </c>
      <c r="B109" s="187" t="s">
        <v>439</v>
      </c>
      <c r="C109" s="187">
        <v>23</v>
      </c>
      <c r="D109" s="187">
        <v>3</v>
      </c>
      <c r="E109" s="193">
        <v>37053</v>
      </c>
      <c r="F109" s="187"/>
      <c r="G109" s="187">
        <v>52400</v>
      </c>
      <c r="H109" s="187">
        <v>131</v>
      </c>
      <c r="I109" s="187">
        <v>32226</v>
      </c>
      <c r="J109" s="187">
        <v>1572</v>
      </c>
      <c r="K109" s="187">
        <v>33798</v>
      </c>
      <c r="L109" s="187">
        <v>18602</v>
      </c>
    </row>
    <row r="110" spans="1:12" ht="15.75" thickBot="1">
      <c r="A110" s="187" t="s">
        <v>440</v>
      </c>
      <c r="B110" s="187" t="s">
        <v>441</v>
      </c>
      <c r="C110" s="187">
        <v>23</v>
      </c>
      <c r="D110" s="187">
        <v>3.3</v>
      </c>
      <c r="E110" s="193">
        <v>40482</v>
      </c>
      <c r="F110" s="187"/>
      <c r="G110" s="187">
        <v>64739</v>
      </c>
      <c r="H110" s="187">
        <v>179</v>
      </c>
      <c r="I110" s="187">
        <v>23986</v>
      </c>
      <c r="J110" s="187">
        <v>2148</v>
      </c>
      <c r="K110" s="187">
        <v>26134</v>
      </c>
      <c r="L110" s="187">
        <v>38605</v>
      </c>
    </row>
    <row r="111" spans="1:12" ht="16.5" thickTop="1" thickBot="1">
      <c r="A111" s="192" t="s">
        <v>442</v>
      </c>
      <c r="B111" s="192"/>
      <c r="C111" s="192"/>
      <c r="D111" s="192"/>
      <c r="E111" s="192"/>
      <c r="F111" s="192"/>
      <c r="G111" s="192">
        <v>117139</v>
      </c>
      <c r="H111" s="192">
        <v>310</v>
      </c>
      <c r="I111" s="192">
        <v>56212</v>
      </c>
      <c r="J111" s="192">
        <v>3720</v>
      </c>
      <c r="K111" s="192">
        <v>59932</v>
      </c>
      <c r="L111" s="192">
        <v>57207</v>
      </c>
    </row>
    <row r="112" spans="1:12" ht="16.5" thickTop="1" thickBot="1">
      <c r="A112" s="187" t="s">
        <v>443</v>
      </c>
      <c r="B112" s="187" t="s">
        <v>444</v>
      </c>
      <c r="C112" s="187">
        <v>24</v>
      </c>
      <c r="D112" s="187">
        <v>5</v>
      </c>
      <c r="E112" s="193">
        <v>37862</v>
      </c>
      <c r="F112" s="187"/>
      <c r="G112" s="187">
        <v>743742</v>
      </c>
      <c r="H112" s="187">
        <v>3099</v>
      </c>
      <c r="I112" s="187">
        <v>681780</v>
      </c>
      <c r="J112" s="187">
        <v>37188</v>
      </c>
      <c r="K112" s="187">
        <v>718968</v>
      </c>
      <c r="L112" s="187">
        <v>24774</v>
      </c>
    </row>
    <row r="113" spans="1:12" ht="16.5" thickTop="1" thickBot="1">
      <c r="A113" s="192" t="s">
        <v>445</v>
      </c>
      <c r="B113" s="192"/>
      <c r="C113" s="192"/>
      <c r="D113" s="192"/>
      <c r="E113" s="192"/>
      <c r="F113" s="192"/>
      <c r="G113" s="192">
        <v>743742</v>
      </c>
      <c r="H113" s="192">
        <v>3099</v>
      </c>
      <c r="I113" s="192">
        <v>681780</v>
      </c>
      <c r="J113" s="192">
        <v>37188</v>
      </c>
      <c r="K113" s="192">
        <v>718968</v>
      </c>
      <c r="L113" s="192">
        <v>24774</v>
      </c>
    </row>
    <row r="114" spans="1:12" ht="15.75" thickTop="1">
      <c r="A114" s="187" t="s">
        <v>446</v>
      </c>
      <c r="B114" s="187" t="s">
        <v>447</v>
      </c>
      <c r="C114" s="187">
        <v>25</v>
      </c>
      <c r="D114" s="187">
        <v>2</v>
      </c>
      <c r="E114" s="193">
        <v>36942</v>
      </c>
      <c r="F114" s="187"/>
      <c r="G114" s="187">
        <v>168632</v>
      </c>
      <c r="H114" s="187">
        <v>282</v>
      </c>
      <c r="I114" s="187">
        <v>70500</v>
      </c>
      <c r="J114" s="187">
        <v>3384</v>
      </c>
      <c r="K114" s="187">
        <v>73884</v>
      </c>
      <c r="L114" s="187">
        <v>94748</v>
      </c>
    </row>
    <row r="115" spans="1:12" ht="15">
      <c r="A115" s="187" t="s">
        <v>448</v>
      </c>
      <c r="B115" s="187" t="s">
        <v>449</v>
      </c>
      <c r="C115" s="187">
        <v>25</v>
      </c>
      <c r="D115" s="187">
        <v>2</v>
      </c>
      <c r="E115" s="193">
        <v>36942</v>
      </c>
      <c r="F115" s="187"/>
      <c r="G115" s="187">
        <v>168632</v>
      </c>
      <c r="H115" s="187">
        <v>282</v>
      </c>
      <c r="I115" s="187">
        <v>70500</v>
      </c>
      <c r="J115" s="187">
        <v>3384</v>
      </c>
      <c r="K115" s="187">
        <v>73884</v>
      </c>
      <c r="L115" s="187">
        <v>94748</v>
      </c>
    </row>
    <row r="116" spans="1:12" ht="15.75" thickBot="1">
      <c r="A116" s="187" t="s">
        <v>450</v>
      </c>
      <c r="B116" s="187" t="s">
        <v>451</v>
      </c>
      <c r="C116" s="187">
        <v>25</v>
      </c>
      <c r="D116" s="187">
        <v>4</v>
      </c>
      <c r="E116" s="193">
        <v>37053</v>
      </c>
      <c r="F116" s="187"/>
      <c r="G116" s="187">
        <v>161700</v>
      </c>
      <c r="H116" s="187">
        <v>539</v>
      </c>
      <c r="I116" s="187">
        <v>132594</v>
      </c>
      <c r="J116" s="187">
        <v>6468</v>
      </c>
      <c r="K116" s="187">
        <v>139062</v>
      </c>
      <c r="L116" s="187">
        <v>22638</v>
      </c>
    </row>
    <row r="117" spans="1:12" ht="16.5" thickTop="1" thickBot="1">
      <c r="A117" s="192" t="s">
        <v>452</v>
      </c>
      <c r="B117" s="192"/>
      <c r="C117" s="192"/>
      <c r="D117" s="192"/>
      <c r="E117" s="192"/>
      <c r="F117" s="192"/>
      <c r="G117" s="192">
        <v>498964</v>
      </c>
      <c r="H117" s="192">
        <v>1103</v>
      </c>
      <c r="I117" s="192">
        <v>273594</v>
      </c>
      <c r="J117" s="192">
        <v>13236</v>
      </c>
      <c r="K117" s="192">
        <v>286830</v>
      </c>
      <c r="L117" s="192">
        <v>212134</v>
      </c>
    </row>
    <row r="118" spans="1:12" ht="16.5" thickTop="1" thickBot="1">
      <c r="A118" s="305">
        <v>16502</v>
      </c>
      <c r="B118" s="305" t="s">
        <v>453</v>
      </c>
      <c r="C118" s="305">
        <v>26</v>
      </c>
      <c r="D118" s="305">
        <v>60</v>
      </c>
      <c r="E118" s="306">
        <v>43832</v>
      </c>
      <c r="F118" s="305"/>
      <c r="G118" s="305">
        <v>242938.75</v>
      </c>
      <c r="H118" s="305">
        <v>12147</v>
      </c>
      <c r="I118" s="305">
        <v>242938.75</v>
      </c>
      <c r="J118" s="305">
        <v>0</v>
      </c>
      <c r="K118" s="305">
        <v>242938.75</v>
      </c>
      <c r="L118" s="305">
        <v>0</v>
      </c>
    </row>
    <row r="119" spans="1:12" ht="16.5" thickTop="1" thickBot="1">
      <c r="A119" s="192" t="s">
        <v>454</v>
      </c>
      <c r="B119" s="192"/>
      <c r="C119" s="192"/>
      <c r="D119" s="192"/>
      <c r="E119" s="192"/>
      <c r="F119" s="192"/>
      <c r="G119" s="192">
        <v>242938.75</v>
      </c>
      <c r="H119" s="192">
        <v>12147</v>
      </c>
      <c r="I119" s="192">
        <v>242938.75</v>
      </c>
      <c r="J119" s="192">
        <v>0</v>
      </c>
      <c r="K119" s="192">
        <v>242938.75</v>
      </c>
      <c r="L119" s="192">
        <v>0</v>
      </c>
    </row>
    <row r="120" spans="1:12" ht="15.75" thickTop="1">
      <c r="A120" s="187" t="s">
        <v>455</v>
      </c>
      <c r="B120" s="187" t="s">
        <v>456</v>
      </c>
      <c r="C120" s="187">
        <v>27</v>
      </c>
      <c r="D120" s="187">
        <v>3</v>
      </c>
      <c r="E120" s="193">
        <v>37173</v>
      </c>
      <c r="F120" s="187"/>
      <c r="G120" s="187">
        <v>5940141</v>
      </c>
      <c r="H120" s="187">
        <v>14851</v>
      </c>
      <c r="I120" s="187">
        <v>3498251</v>
      </c>
      <c r="J120" s="187">
        <v>178212</v>
      </c>
      <c r="K120" s="187">
        <v>3676463</v>
      </c>
      <c r="L120" s="187">
        <v>2263678</v>
      </c>
    </row>
    <row r="121" spans="1:12" ht="15.75" thickBot="1">
      <c r="A121" s="187" t="s">
        <v>457</v>
      </c>
      <c r="B121" s="187" t="s">
        <v>458</v>
      </c>
      <c r="C121" s="187">
        <v>27</v>
      </c>
      <c r="D121" s="187">
        <v>3</v>
      </c>
      <c r="E121" s="193">
        <v>37173</v>
      </c>
      <c r="F121" s="187"/>
      <c r="G121" s="187">
        <v>6286980</v>
      </c>
      <c r="H121" s="187">
        <v>15718</v>
      </c>
      <c r="I121" s="187">
        <v>3708177</v>
      </c>
      <c r="J121" s="187">
        <v>188616</v>
      </c>
      <c r="K121" s="187">
        <v>3896793</v>
      </c>
      <c r="L121" s="187">
        <v>2390187</v>
      </c>
    </row>
    <row r="122" spans="1:12" ht="16.5" thickTop="1" thickBot="1">
      <c r="A122" s="192" t="s">
        <v>459</v>
      </c>
      <c r="B122" s="192"/>
      <c r="C122" s="192"/>
      <c r="D122" s="192"/>
      <c r="E122" s="192"/>
      <c r="F122" s="192"/>
      <c r="G122" s="192">
        <v>12227121</v>
      </c>
      <c r="H122" s="192">
        <v>30569</v>
      </c>
      <c r="I122" s="192">
        <v>7206428</v>
      </c>
      <c r="J122" s="192">
        <v>366828</v>
      </c>
      <c r="K122" s="192">
        <v>7573256</v>
      </c>
      <c r="L122" s="192">
        <v>4653865</v>
      </c>
    </row>
    <row r="123" spans="1:12" ht="15.75" thickTop="1">
      <c r="A123" s="187" t="s">
        <v>460</v>
      </c>
      <c r="B123" s="187" t="s">
        <v>461</v>
      </c>
      <c r="C123" s="187">
        <v>29</v>
      </c>
      <c r="D123" s="187">
        <v>2.5</v>
      </c>
      <c r="E123" s="193">
        <v>37862</v>
      </c>
      <c r="F123" s="187"/>
      <c r="G123" s="187">
        <v>1474544</v>
      </c>
      <c r="H123" s="187">
        <v>3072</v>
      </c>
      <c r="I123" s="187">
        <v>647510</v>
      </c>
      <c r="J123" s="187">
        <v>36864</v>
      </c>
      <c r="K123" s="187">
        <v>684374</v>
      </c>
      <c r="L123" s="187">
        <v>790170</v>
      </c>
    </row>
    <row r="124" spans="1:12" ht="15">
      <c r="A124" s="187" t="s">
        <v>462</v>
      </c>
      <c r="B124" s="187" t="s">
        <v>463</v>
      </c>
      <c r="C124" s="187">
        <v>29</v>
      </c>
      <c r="D124" s="187">
        <v>2.5</v>
      </c>
      <c r="E124" s="193">
        <v>37921</v>
      </c>
      <c r="F124" s="187"/>
      <c r="G124" s="187">
        <v>35828634.549999997</v>
      </c>
      <c r="H124" s="187">
        <v>74643</v>
      </c>
      <c r="I124" s="187">
        <v>13669103</v>
      </c>
      <c r="J124" s="187">
        <v>893963</v>
      </c>
      <c r="K124" s="187">
        <v>14563066</v>
      </c>
      <c r="L124" s="187">
        <v>21265568.549999997</v>
      </c>
    </row>
    <row r="125" spans="1:12" ht="15">
      <c r="A125" s="187" t="s">
        <v>464</v>
      </c>
      <c r="B125" s="187" t="s">
        <v>465</v>
      </c>
      <c r="C125" s="187">
        <v>29</v>
      </c>
      <c r="D125" s="187">
        <v>3.3</v>
      </c>
      <c r="E125" s="193">
        <v>37833</v>
      </c>
      <c r="F125" s="187"/>
      <c r="G125" s="187">
        <v>4902403</v>
      </c>
      <c r="H125" s="187">
        <v>13482</v>
      </c>
      <c r="I125" s="187">
        <v>2979522</v>
      </c>
      <c r="J125" s="187">
        <v>161784</v>
      </c>
      <c r="K125" s="187">
        <v>3141306</v>
      </c>
      <c r="L125" s="187">
        <v>1761097</v>
      </c>
    </row>
    <row r="126" spans="1:12" ht="15">
      <c r="A126" s="187" t="s">
        <v>466</v>
      </c>
      <c r="B126" s="187" t="s">
        <v>467</v>
      </c>
      <c r="C126" s="187">
        <v>29</v>
      </c>
      <c r="D126" s="187">
        <v>3.3</v>
      </c>
      <c r="E126" s="193">
        <v>37833</v>
      </c>
      <c r="F126" s="187"/>
      <c r="G126" s="187">
        <v>2797228</v>
      </c>
      <c r="H126" s="187">
        <v>7693</v>
      </c>
      <c r="I126" s="187">
        <v>1671386</v>
      </c>
      <c r="J126" s="187">
        <v>92316</v>
      </c>
      <c r="K126" s="187">
        <v>1763702</v>
      </c>
      <c r="L126" s="187">
        <v>1033526</v>
      </c>
    </row>
    <row r="127" spans="1:12" ht="15">
      <c r="A127" s="187" t="s">
        <v>468</v>
      </c>
      <c r="B127" s="187" t="s">
        <v>469</v>
      </c>
      <c r="C127" s="187">
        <v>29</v>
      </c>
      <c r="D127" s="187">
        <v>5</v>
      </c>
      <c r="E127" s="193">
        <v>37833</v>
      </c>
      <c r="F127" s="187"/>
      <c r="G127" s="187">
        <v>837346</v>
      </c>
      <c r="H127" s="187">
        <v>3489</v>
      </c>
      <c r="I127" s="187">
        <v>771069</v>
      </c>
      <c r="J127" s="187">
        <v>41868</v>
      </c>
      <c r="K127" s="187">
        <v>812937</v>
      </c>
      <c r="L127" s="187">
        <v>24409</v>
      </c>
    </row>
    <row r="128" spans="1:12" ht="15">
      <c r="A128" s="187" t="s">
        <v>470</v>
      </c>
      <c r="B128" s="187" t="s">
        <v>471</v>
      </c>
      <c r="C128" s="187">
        <v>29</v>
      </c>
      <c r="D128" s="187">
        <v>5</v>
      </c>
      <c r="E128" s="193">
        <v>37833</v>
      </c>
      <c r="F128" s="187"/>
      <c r="G128" s="187">
        <v>997339</v>
      </c>
      <c r="H128" s="187">
        <v>4156</v>
      </c>
      <c r="I128" s="187">
        <v>918476</v>
      </c>
      <c r="J128" s="187">
        <v>49872</v>
      </c>
      <c r="K128" s="187">
        <v>968348</v>
      </c>
      <c r="L128" s="187">
        <v>28991</v>
      </c>
    </row>
    <row r="129" spans="1:12" ht="15">
      <c r="A129" s="187" t="s">
        <v>472</v>
      </c>
      <c r="B129" s="187" t="s">
        <v>473</v>
      </c>
      <c r="C129" s="187">
        <v>29</v>
      </c>
      <c r="D129" s="187">
        <v>5</v>
      </c>
      <c r="E129" s="193">
        <v>37833</v>
      </c>
      <c r="F129" s="187"/>
      <c r="G129" s="187">
        <v>641419</v>
      </c>
      <c r="H129" s="187">
        <v>2673</v>
      </c>
      <c r="I129" s="187">
        <v>470635</v>
      </c>
      <c r="J129" s="187">
        <v>32076</v>
      </c>
      <c r="K129" s="187">
        <v>502711</v>
      </c>
      <c r="L129" s="187">
        <v>138708</v>
      </c>
    </row>
    <row r="130" spans="1:12" ht="15">
      <c r="A130" s="187" t="s">
        <v>474</v>
      </c>
      <c r="B130" s="187" t="s">
        <v>475</v>
      </c>
      <c r="C130" s="187">
        <v>29</v>
      </c>
      <c r="D130" s="187">
        <v>5</v>
      </c>
      <c r="E130" s="193">
        <v>37833</v>
      </c>
      <c r="F130" s="187"/>
      <c r="G130" s="187">
        <v>516907</v>
      </c>
      <c r="H130" s="187">
        <v>2154</v>
      </c>
      <c r="I130" s="187">
        <v>457377</v>
      </c>
      <c r="J130" s="187">
        <v>25848</v>
      </c>
      <c r="K130" s="187">
        <v>483225</v>
      </c>
      <c r="L130" s="187">
        <v>33682</v>
      </c>
    </row>
    <row r="131" spans="1:12" ht="15">
      <c r="A131" s="187" t="s">
        <v>476</v>
      </c>
      <c r="B131" s="187" t="s">
        <v>477</v>
      </c>
      <c r="C131" s="187">
        <v>29</v>
      </c>
      <c r="D131" s="187">
        <v>3.3</v>
      </c>
      <c r="E131" s="193">
        <v>37862</v>
      </c>
      <c r="F131" s="187"/>
      <c r="G131" s="187">
        <v>985416</v>
      </c>
      <c r="H131" s="187">
        <v>2710</v>
      </c>
      <c r="I131" s="187">
        <v>596200</v>
      </c>
      <c r="J131" s="187">
        <v>32520</v>
      </c>
      <c r="K131" s="187">
        <v>628720</v>
      </c>
      <c r="L131" s="187">
        <v>356696</v>
      </c>
    </row>
    <row r="132" spans="1:12" ht="15">
      <c r="A132" s="187" t="s">
        <v>478</v>
      </c>
      <c r="B132" s="187" t="s">
        <v>479</v>
      </c>
      <c r="C132" s="187">
        <v>29</v>
      </c>
      <c r="D132" s="187">
        <v>5</v>
      </c>
      <c r="E132" s="193">
        <v>37862</v>
      </c>
      <c r="F132" s="187"/>
      <c r="G132" s="187">
        <v>681779</v>
      </c>
      <c r="H132" s="187">
        <v>2841</v>
      </c>
      <c r="I132" s="187">
        <v>625020</v>
      </c>
      <c r="J132" s="187">
        <v>34092</v>
      </c>
      <c r="K132" s="187">
        <v>659112</v>
      </c>
      <c r="L132" s="187">
        <v>22667</v>
      </c>
    </row>
    <row r="133" spans="1:12" ht="15">
      <c r="A133" s="187" t="s">
        <v>480</v>
      </c>
      <c r="B133" s="187" t="s">
        <v>481</v>
      </c>
      <c r="C133" s="187">
        <v>29</v>
      </c>
      <c r="D133" s="187">
        <v>5</v>
      </c>
      <c r="E133" s="193">
        <v>37860</v>
      </c>
      <c r="F133" s="187"/>
      <c r="G133" s="187">
        <v>339154</v>
      </c>
      <c r="H133" s="187">
        <v>1414</v>
      </c>
      <c r="I133" s="187">
        <v>311080</v>
      </c>
      <c r="J133" s="187">
        <v>16968</v>
      </c>
      <c r="K133" s="187">
        <v>328048</v>
      </c>
      <c r="L133" s="187">
        <v>11106</v>
      </c>
    </row>
    <row r="134" spans="1:12" ht="15">
      <c r="A134" s="187" t="s">
        <v>482</v>
      </c>
      <c r="B134" s="187" t="s">
        <v>483</v>
      </c>
      <c r="C134" s="187">
        <v>29</v>
      </c>
      <c r="D134" s="187">
        <v>5</v>
      </c>
      <c r="E134" s="193">
        <v>37862</v>
      </c>
      <c r="F134" s="187"/>
      <c r="G134" s="187">
        <v>216261</v>
      </c>
      <c r="H134" s="187">
        <v>902</v>
      </c>
      <c r="I134" s="187">
        <v>198440</v>
      </c>
      <c r="J134" s="187">
        <v>10824</v>
      </c>
      <c r="K134" s="187">
        <v>209264</v>
      </c>
      <c r="L134" s="187">
        <v>6997</v>
      </c>
    </row>
    <row r="135" spans="1:12" ht="15">
      <c r="A135" s="187" t="s">
        <v>484</v>
      </c>
      <c r="B135" s="187" t="s">
        <v>485</v>
      </c>
      <c r="C135" s="187">
        <v>29</v>
      </c>
      <c r="D135" s="187">
        <v>5</v>
      </c>
      <c r="E135" s="193">
        <v>37862</v>
      </c>
      <c r="F135" s="187"/>
      <c r="G135" s="187">
        <v>347489</v>
      </c>
      <c r="H135" s="187">
        <v>1448</v>
      </c>
      <c r="I135" s="187">
        <v>318560</v>
      </c>
      <c r="J135" s="187">
        <v>17376</v>
      </c>
      <c r="K135" s="187">
        <v>335936</v>
      </c>
      <c r="L135" s="187">
        <v>11553</v>
      </c>
    </row>
    <row r="136" spans="1:12" ht="15">
      <c r="A136" s="187" t="s">
        <v>486</v>
      </c>
      <c r="B136" s="187" t="s">
        <v>487</v>
      </c>
      <c r="C136" s="187">
        <v>29</v>
      </c>
      <c r="D136" s="187">
        <v>3</v>
      </c>
      <c r="E136" s="193">
        <v>38044</v>
      </c>
      <c r="F136" s="187"/>
      <c r="G136" s="187">
        <v>691655</v>
      </c>
      <c r="H136" s="187">
        <v>1730</v>
      </c>
      <c r="I136" s="187">
        <v>362376</v>
      </c>
      <c r="J136" s="187">
        <v>20760</v>
      </c>
      <c r="K136" s="187">
        <v>383136</v>
      </c>
      <c r="L136" s="187">
        <v>308519</v>
      </c>
    </row>
    <row r="137" spans="1:12" ht="15">
      <c r="A137" s="187" t="s">
        <v>488</v>
      </c>
      <c r="B137" s="187" t="s">
        <v>489</v>
      </c>
      <c r="C137" s="187">
        <v>29</v>
      </c>
      <c r="D137" s="187">
        <v>3</v>
      </c>
      <c r="E137" s="193">
        <v>38044</v>
      </c>
      <c r="F137" s="187"/>
      <c r="G137" s="187">
        <v>3216756</v>
      </c>
      <c r="H137" s="187">
        <v>8042</v>
      </c>
      <c r="I137" s="187">
        <v>1720988</v>
      </c>
      <c r="J137" s="187">
        <v>96504</v>
      </c>
      <c r="K137" s="187">
        <v>1817492</v>
      </c>
      <c r="L137" s="187">
        <v>1399264</v>
      </c>
    </row>
    <row r="138" spans="1:12" ht="15.75" thickBot="1">
      <c r="A138" s="187" t="s">
        <v>490</v>
      </c>
      <c r="B138" s="187" t="s">
        <v>491</v>
      </c>
      <c r="C138" s="187">
        <v>29</v>
      </c>
      <c r="D138" s="187">
        <v>3.3</v>
      </c>
      <c r="E138" s="193">
        <v>38138</v>
      </c>
      <c r="F138" s="187"/>
      <c r="G138" s="187">
        <v>138758</v>
      </c>
      <c r="H138" s="187">
        <v>382</v>
      </c>
      <c r="I138" s="187">
        <v>80602</v>
      </c>
      <c r="J138" s="187">
        <v>4584</v>
      </c>
      <c r="K138" s="187">
        <v>85186</v>
      </c>
      <c r="L138" s="187">
        <v>53572</v>
      </c>
    </row>
    <row r="139" spans="1:12" ht="16.5" thickTop="1" thickBot="1">
      <c r="A139" s="192" t="s">
        <v>492</v>
      </c>
      <c r="B139" s="192"/>
      <c r="C139" s="192"/>
      <c r="D139" s="192"/>
      <c r="E139" s="192"/>
      <c r="F139" s="192"/>
      <c r="G139" s="192">
        <v>54613088.549999997</v>
      </c>
      <c r="H139" s="192">
        <v>130831</v>
      </c>
      <c r="I139" s="192">
        <v>25798344</v>
      </c>
      <c r="J139" s="192">
        <v>1568219</v>
      </c>
      <c r="K139" s="192">
        <v>27366563</v>
      </c>
      <c r="L139" s="192">
        <v>27246525.549999997</v>
      </c>
    </row>
    <row r="140" spans="1:12" ht="15.75" thickTop="1">
      <c r="A140" s="187" t="s">
        <v>493</v>
      </c>
      <c r="B140" s="187" t="s">
        <v>494</v>
      </c>
      <c r="C140" s="187">
        <v>30</v>
      </c>
      <c r="D140" s="187">
        <v>3.3</v>
      </c>
      <c r="E140" s="193">
        <v>40639</v>
      </c>
      <c r="F140" s="187"/>
      <c r="G140" s="187">
        <v>218770</v>
      </c>
      <c r="H140" s="187">
        <v>602</v>
      </c>
      <c r="I140" s="187">
        <v>77056</v>
      </c>
      <c r="J140" s="187">
        <v>7224</v>
      </c>
      <c r="K140" s="187">
        <v>84280</v>
      </c>
      <c r="L140" s="187">
        <v>134490</v>
      </c>
    </row>
    <row r="141" spans="1:12" ht="15.75" thickBot="1">
      <c r="A141" s="187">
        <v>14100</v>
      </c>
      <c r="B141" s="187" t="s">
        <v>495</v>
      </c>
      <c r="C141" s="187">
        <v>30</v>
      </c>
      <c r="D141" s="187">
        <v>20</v>
      </c>
      <c r="E141" s="193">
        <v>41857</v>
      </c>
      <c r="F141" s="187"/>
      <c r="G141" s="187">
        <v>234400</v>
      </c>
      <c r="H141" s="187">
        <v>3907</v>
      </c>
      <c r="I141" s="187">
        <v>234400</v>
      </c>
      <c r="J141" s="187">
        <v>0</v>
      </c>
      <c r="K141" s="187">
        <v>234400</v>
      </c>
      <c r="L141" s="187">
        <v>0</v>
      </c>
    </row>
    <row r="142" spans="1:12" ht="16.5" thickTop="1" thickBot="1">
      <c r="A142" s="192" t="s">
        <v>496</v>
      </c>
      <c r="B142" s="192"/>
      <c r="C142" s="192"/>
      <c r="D142" s="192"/>
      <c r="E142" s="192"/>
      <c r="F142" s="192"/>
      <c r="G142" s="192">
        <v>453170</v>
      </c>
      <c r="H142" s="192">
        <v>4509</v>
      </c>
      <c r="I142" s="192">
        <v>311456</v>
      </c>
      <c r="J142" s="192">
        <v>7224</v>
      </c>
      <c r="K142" s="192">
        <v>318680</v>
      </c>
      <c r="L142" s="192">
        <v>134490</v>
      </c>
    </row>
    <row r="143" spans="1:12" ht="15.75" thickTop="1">
      <c r="A143" s="187" t="s">
        <v>497</v>
      </c>
      <c r="B143" s="187" t="s">
        <v>498</v>
      </c>
      <c r="C143" s="187">
        <v>31</v>
      </c>
      <c r="D143" s="187">
        <v>5</v>
      </c>
      <c r="E143" s="193">
        <v>31021</v>
      </c>
      <c r="F143" s="187"/>
      <c r="G143" s="187">
        <v>1170638</v>
      </c>
      <c r="H143" s="187">
        <v>4878</v>
      </c>
      <c r="I143" s="187">
        <v>1170638</v>
      </c>
      <c r="J143" s="187">
        <v>0</v>
      </c>
      <c r="K143" s="187">
        <v>1170638</v>
      </c>
      <c r="L143" s="187">
        <v>0</v>
      </c>
    </row>
    <row r="144" spans="1:12" ht="15">
      <c r="A144" s="187" t="s">
        <v>499</v>
      </c>
      <c r="B144" s="187" t="s">
        <v>500</v>
      </c>
      <c r="C144" s="187">
        <v>31</v>
      </c>
      <c r="D144" s="187">
        <v>5</v>
      </c>
      <c r="E144" s="193">
        <v>31063</v>
      </c>
      <c r="F144" s="187"/>
      <c r="G144" s="187">
        <v>1371824</v>
      </c>
      <c r="H144" s="187">
        <v>5716</v>
      </c>
      <c r="I144" s="187">
        <v>1371824</v>
      </c>
      <c r="J144" s="187">
        <v>0</v>
      </c>
      <c r="K144" s="187">
        <v>1371824</v>
      </c>
      <c r="L144" s="187">
        <v>0</v>
      </c>
    </row>
    <row r="145" spans="1:12" ht="15">
      <c r="A145" s="187" t="s">
        <v>501</v>
      </c>
      <c r="B145" s="187" t="s">
        <v>502</v>
      </c>
      <c r="C145" s="187">
        <v>31</v>
      </c>
      <c r="D145" s="187">
        <v>5</v>
      </c>
      <c r="E145" s="193">
        <v>32965</v>
      </c>
      <c r="F145" s="187"/>
      <c r="G145" s="187">
        <v>211196</v>
      </c>
      <c r="H145" s="187">
        <v>880</v>
      </c>
      <c r="I145" s="187">
        <v>211196</v>
      </c>
      <c r="J145" s="187">
        <v>0</v>
      </c>
      <c r="K145" s="187">
        <v>211196</v>
      </c>
      <c r="L145" s="187">
        <v>0</v>
      </c>
    </row>
    <row r="146" spans="1:12" ht="15">
      <c r="A146" s="187" t="s">
        <v>503</v>
      </c>
      <c r="B146" s="187" t="s">
        <v>502</v>
      </c>
      <c r="C146" s="187">
        <v>31</v>
      </c>
      <c r="D146" s="187">
        <v>5</v>
      </c>
      <c r="E146" s="193">
        <v>32965</v>
      </c>
      <c r="F146" s="187"/>
      <c r="G146" s="187">
        <v>211196</v>
      </c>
      <c r="H146" s="187">
        <v>880</v>
      </c>
      <c r="I146" s="187">
        <v>211196</v>
      </c>
      <c r="J146" s="187">
        <v>0</v>
      </c>
      <c r="K146" s="187">
        <v>211196</v>
      </c>
      <c r="L146" s="187">
        <v>0</v>
      </c>
    </row>
    <row r="147" spans="1:12" ht="15">
      <c r="A147" s="187" t="s">
        <v>504</v>
      </c>
      <c r="B147" s="187" t="s">
        <v>505</v>
      </c>
      <c r="C147" s="187">
        <v>31</v>
      </c>
      <c r="D147" s="187">
        <v>7</v>
      </c>
      <c r="E147" s="193">
        <v>33330</v>
      </c>
      <c r="F147" s="193">
        <v>44621</v>
      </c>
      <c r="G147" s="187">
        <v>19126</v>
      </c>
      <c r="H147" s="187">
        <v>112</v>
      </c>
      <c r="I147" s="187">
        <v>19126</v>
      </c>
      <c r="J147" s="187">
        <v>0</v>
      </c>
      <c r="K147" s="187">
        <v>19126</v>
      </c>
      <c r="L147" s="187">
        <v>0</v>
      </c>
    </row>
    <row r="148" spans="1:12" ht="15.75" thickBot="1">
      <c r="A148" s="187" t="s">
        <v>506</v>
      </c>
      <c r="B148" s="187" t="s">
        <v>507</v>
      </c>
      <c r="C148" s="187">
        <v>31</v>
      </c>
      <c r="D148" s="187">
        <v>13.399999999999999</v>
      </c>
      <c r="E148" s="193">
        <v>34869</v>
      </c>
      <c r="F148" s="187"/>
      <c r="G148" s="187">
        <v>15700</v>
      </c>
      <c r="H148" s="187">
        <v>176</v>
      </c>
      <c r="I148" s="187">
        <v>15700</v>
      </c>
      <c r="J148" s="187">
        <v>0</v>
      </c>
      <c r="K148" s="187">
        <v>15700</v>
      </c>
      <c r="L148" s="187">
        <v>0</v>
      </c>
    </row>
    <row r="149" spans="1:12" ht="16.5" thickTop="1" thickBot="1">
      <c r="A149" s="192" t="s">
        <v>508</v>
      </c>
      <c r="B149" s="192"/>
      <c r="C149" s="192"/>
      <c r="D149" s="192"/>
      <c r="E149" s="192"/>
      <c r="F149" s="192"/>
      <c r="G149" s="192">
        <v>2999680</v>
      </c>
      <c r="H149" s="192">
        <v>12642</v>
      </c>
      <c r="I149" s="192">
        <v>2999680</v>
      </c>
      <c r="J149" s="192">
        <v>0</v>
      </c>
      <c r="K149" s="192">
        <v>2999680</v>
      </c>
      <c r="L149" s="192">
        <v>0</v>
      </c>
    </row>
    <row r="150" spans="1:12" ht="15.75" thickTop="1">
      <c r="A150" s="187" t="s">
        <v>509</v>
      </c>
      <c r="B150" s="187" t="s">
        <v>510</v>
      </c>
      <c r="C150" s="187">
        <v>32</v>
      </c>
      <c r="D150" s="187">
        <v>7</v>
      </c>
      <c r="E150" s="193">
        <v>33451</v>
      </c>
      <c r="F150" s="193">
        <v>44621</v>
      </c>
      <c r="G150" s="187">
        <v>51861</v>
      </c>
      <c r="H150" s="187">
        <v>303</v>
      </c>
      <c r="I150" s="187">
        <v>51861</v>
      </c>
      <c r="J150" s="187">
        <v>0</v>
      </c>
      <c r="K150" s="187">
        <v>51861</v>
      </c>
      <c r="L150" s="187">
        <v>0</v>
      </c>
    </row>
    <row r="151" spans="1:12" ht="15">
      <c r="A151" s="187" t="s">
        <v>511</v>
      </c>
      <c r="B151" s="187" t="s">
        <v>512</v>
      </c>
      <c r="C151" s="187">
        <v>32</v>
      </c>
      <c r="D151" s="187">
        <v>7</v>
      </c>
      <c r="E151" s="193">
        <v>33695</v>
      </c>
      <c r="F151" s="193">
        <v>44621</v>
      </c>
      <c r="G151" s="187">
        <v>61240</v>
      </c>
      <c r="H151" s="187">
        <v>358</v>
      </c>
      <c r="I151" s="187">
        <v>61240</v>
      </c>
      <c r="J151" s="187">
        <v>0</v>
      </c>
      <c r="K151" s="187">
        <v>61240</v>
      </c>
      <c r="L151" s="187">
        <v>0</v>
      </c>
    </row>
    <row r="152" spans="1:12" ht="15">
      <c r="A152" s="187" t="s">
        <v>513</v>
      </c>
      <c r="B152" s="187" t="s">
        <v>514</v>
      </c>
      <c r="C152" s="187">
        <v>32</v>
      </c>
      <c r="D152" s="187">
        <v>0</v>
      </c>
      <c r="E152" s="193">
        <v>43502</v>
      </c>
      <c r="F152" s="187"/>
      <c r="G152" s="187">
        <v>86970.299999999988</v>
      </c>
      <c r="H152" s="187">
        <v>1450</v>
      </c>
      <c r="I152" s="187">
        <v>49300</v>
      </c>
      <c r="J152" s="187">
        <v>17400</v>
      </c>
      <c r="K152" s="187">
        <v>66700</v>
      </c>
      <c r="L152" s="187">
        <v>20270.3</v>
      </c>
    </row>
    <row r="153" spans="1:12" ht="15">
      <c r="A153" s="187" t="s">
        <v>515</v>
      </c>
      <c r="B153" s="187" t="s">
        <v>516</v>
      </c>
      <c r="C153" s="187">
        <v>32</v>
      </c>
      <c r="D153" s="187">
        <v>13.399999999999999</v>
      </c>
      <c r="E153" s="193">
        <v>34778</v>
      </c>
      <c r="F153" s="187"/>
      <c r="G153" s="187">
        <v>8700</v>
      </c>
      <c r="H153" s="187">
        <v>98</v>
      </c>
      <c r="I153" s="187">
        <v>8700</v>
      </c>
      <c r="J153" s="187">
        <v>0</v>
      </c>
      <c r="K153" s="187">
        <v>8700</v>
      </c>
      <c r="L153" s="187">
        <v>0</v>
      </c>
    </row>
    <row r="154" spans="1:12" ht="15">
      <c r="A154" s="187" t="s">
        <v>517</v>
      </c>
      <c r="B154" s="187" t="s">
        <v>518</v>
      </c>
      <c r="C154" s="187">
        <v>32</v>
      </c>
      <c r="D154" s="187">
        <v>20</v>
      </c>
      <c r="E154" s="193">
        <v>37255</v>
      </c>
      <c r="F154" s="187"/>
      <c r="G154" s="187">
        <v>91317</v>
      </c>
      <c r="H154" s="187">
        <v>1522</v>
      </c>
      <c r="I154" s="187">
        <v>91317</v>
      </c>
      <c r="J154" s="187">
        <v>0</v>
      </c>
      <c r="K154" s="187">
        <v>91317</v>
      </c>
      <c r="L154" s="187">
        <v>0</v>
      </c>
    </row>
    <row r="155" spans="1:12" ht="15">
      <c r="A155" s="187" t="s">
        <v>519</v>
      </c>
      <c r="B155" s="187" t="s">
        <v>520</v>
      </c>
      <c r="C155" s="187">
        <v>32</v>
      </c>
      <c r="D155" s="187">
        <v>13</v>
      </c>
      <c r="E155" s="193">
        <v>38290</v>
      </c>
      <c r="F155" s="187"/>
      <c r="G155" s="187">
        <v>41452</v>
      </c>
      <c r="H155" s="187">
        <v>450</v>
      </c>
      <c r="I155" s="187">
        <v>41452</v>
      </c>
      <c r="J155" s="187">
        <v>0</v>
      </c>
      <c r="K155" s="187">
        <v>41452</v>
      </c>
      <c r="L155" s="187">
        <v>0</v>
      </c>
    </row>
    <row r="156" spans="1:12" ht="15">
      <c r="A156" s="187">
        <v>14112</v>
      </c>
      <c r="B156" s="187" t="s">
        <v>521</v>
      </c>
      <c r="C156" s="187">
        <v>32</v>
      </c>
      <c r="D156" s="187">
        <v>10</v>
      </c>
      <c r="E156" s="193">
        <v>42979</v>
      </c>
      <c r="F156" s="187"/>
      <c r="G156" s="187">
        <v>242600</v>
      </c>
      <c r="H156" s="187">
        <v>2022</v>
      </c>
      <c r="I156" s="187">
        <v>103122</v>
      </c>
      <c r="J156" s="187">
        <v>24264</v>
      </c>
      <c r="K156" s="187">
        <v>127386</v>
      </c>
      <c r="L156" s="187">
        <v>115214</v>
      </c>
    </row>
    <row r="157" spans="1:12" ht="15">
      <c r="A157" s="187">
        <v>15282</v>
      </c>
      <c r="B157" s="187" t="s">
        <v>522</v>
      </c>
      <c r="C157" s="187">
        <v>32</v>
      </c>
      <c r="D157" s="187">
        <v>33.299999999999997</v>
      </c>
      <c r="E157" s="193">
        <v>41754</v>
      </c>
      <c r="F157" s="187"/>
      <c r="G157" s="187">
        <v>120000</v>
      </c>
      <c r="H157" s="187">
        <v>3330</v>
      </c>
      <c r="I157" s="187">
        <v>120000</v>
      </c>
      <c r="J157" s="187">
        <v>0</v>
      </c>
      <c r="K157" s="187">
        <v>120000</v>
      </c>
      <c r="L157" s="187">
        <v>0</v>
      </c>
    </row>
    <row r="158" spans="1:12" ht="15">
      <c r="A158" s="187">
        <v>15372</v>
      </c>
      <c r="B158" s="187" t="s">
        <v>523</v>
      </c>
      <c r="C158" s="187">
        <v>32</v>
      </c>
      <c r="D158" s="187">
        <v>20</v>
      </c>
      <c r="E158" s="193">
        <v>42670</v>
      </c>
      <c r="F158" s="187"/>
      <c r="G158" s="187">
        <v>77008</v>
      </c>
      <c r="H158" s="187">
        <v>1284</v>
      </c>
      <c r="I158" s="187">
        <v>77008</v>
      </c>
      <c r="J158" s="187">
        <v>0</v>
      </c>
      <c r="K158" s="187">
        <v>77008</v>
      </c>
      <c r="L158" s="187">
        <v>0</v>
      </c>
    </row>
    <row r="159" spans="1:12" ht="15">
      <c r="A159" s="187">
        <v>15373</v>
      </c>
      <c r="B159" s="187" t="s">
        <v>524</v>
      </c>
      <c r="C159" s="187">
        <v>32</v>
      </c>
      <c r="D159" s="187">
        <v>20</v>
      </c>
      <c r="E159" s="193">
        <v>42698</v>
      </c>
      <c r="F159" s="187"/>
      <c r="G159" s="187">
        <v>48922</v>
      </c>
      <c r="H159" s="187">
        <v>816</v>
      </c>
      <c r="I159" s="187">
        <v>48922</v>
      </c>
      <c r="J159" s="187">
        <v>0</v>
      </c>
      <c r="K159" s="187">
        <v>48922</v>
      </c>
      <c r="L159" s="187">
        <v>0</v>
      </c>
    </row>
    <row r="160" spans="1:12" ht="15">
      <c r="A160" s="187">
        <v>15374</v>
      </c>
      <c r="B160" s="187" t="s">
        <v>525</v>
      </c>
      <c r="C160" s="187">
        <v>32</v>
      </c>
      <c r="D160" s="187">
        <v>10</v>
      </c>
      <c r="E160" s="193">
        <v>42734</v>
      </c>
      <c r="F160" s="187"/>
      <c r="G160" s="187">
        <v>215000</v>
      </c>
      <c r="H160" s="187">
        <v>1792</v>
      </c>
      <c r="I160" s="187">
        <v>107520</v>
      </c>
      <c r="J160" s="187">
        <v>21504</v>
      </c>
      <c r="K160" s="187">
        <v>129024</v>
      </c>
      <c r="L160" s="187">
        <v>85976</v>
      </c>
    </row>
    <row r="161" spans="1:12" ht="15.75" thickBot="1">
      <c r="A161" s="187">
        <v>16483</v>
      </c>
      <c r="B161" s="187" t="s">
        <v>526</v>
      </c>
      <c r="C161" s="187">
        <v>32</v>
      </c>
      <c r="D161" s="187">
        <v>20</v>
      </c>
      <c r="E161" s="193">
        <v>42670</v>
      </c>
      <c r="F161" s="187"/>
      <c r="G161" s="187">
        <v>138785</v>
      </c>
      <c r="H161" s="187">
        <v>2314</v>
      </c>
      <c r="I161" s="187">
        <v>138785</v>
      </c>
      <c r="J161" s="187">
        <v>0</v>
      </c>
      <c r="K161" s="187">
        <v>138785</v>
      </c>
      <c r="L161" s="187">
        <v>0</v>
      </c>
    </row>
    <row r="162" spans="1:12" ht="16.5" thickTop="1" thickBot="1">
      <c r="A162" s="192" t="s">
        <v>527</v>
      </c>
      <c r="B162" s="192"/>
      <c r="C162" s="192"/>
      <c r="D162" s="192"/>
      <c r="E162" s="192"/>
      <c r="F162" s="192"/>
      <c r="G162" s="192">
        <v>1183855.3</v>
      </c>
      <c r="H162" s="192">
        <v>15739</v>
      </c>
      <c r="I162" s="192">
        <v>899227</v>
      </c>
      <c r="J162" s="192">
        <v>63168</v>
      </c>
      <c r="K162" s="192">
        <v>962395</v>
      </c>
      <c r="L162" s="192">
        <v>221460.3</v>
      </c>
    </row>
    <row r="163" spans="1:12" ht="15.75" thickTop="1">
      <c r="A163" s="187" t="s">
        <v>528</v>
      </c>
      <c r="B163" s="187" t="s">
        <v>529</v>
      </c>
      <c r="C163" s="187">
        <v>33</v>
      </c>
      <c r="D163" s="187">
        <v>10</v>
      </c>
      <c r="E163" s="193">
        <v>32902</v>
      </c>
      <c r="F163" s="193">
        <v>44621</v>
      </c>
      <c r="G163" s="187">
        <v>3964</v>
      </c>
      <c r="H163" s="187">
        <v>34</v>
      </c>
      <c r="I163" s="187">
        <v>3964</v>
      </c>
      <c r="J163" s="187">
        <v>0</v>
      </c>
      <c r="K163" s="187">
        <v>3964</v>
      </c>
      <c r="L163" s="187">
        <v>0</v>
      </c>
    </row>
    <row r="164" spans="1:12" ht="15">
      <c r="A164" s="187" t="s">
        <v>530</v>
      </c>
      <c r="B164" s="187" t="s">
        <v>531</v>
      </c>
      <c r="C164" s="187">
        <v>33</v>
      </c>
      <c r="D164" s="187">
        <v>12</v>
      </c>
      <c r="E164" s="193">
        <v>33564</v>
      </c>
      <c r="F164" s="187"/>
      <c r="G164" s="187">
        <v>24327</v>
      </c>
      <c r="H164" s="187">
        <v>244</v>
      </c>
      <c r="I164" s="187">
        <v>24327</v>
      </c>
      <c r="J164" s="187">
        <v>0</v>
      </c>
      <c r="K164" s="187">
        <v>24327</v>
      </c>
      <c r="L164" s="187">
        <v>0</v>
      </c>
    </row>
    <row r="165" spans="1:12" ht="15">
      <c r="A165" s="187" t="s">
        <v>532</v>
      </c>
      <c r="B165" s="187" t="s">
        <v>533</v>
      </c>
      <c r="C165" s="187">
        <v>33</v>
      </c>
      <c r="D165" s="187">
        <v>12</v>
      </c>
      <c r="E165" s="193">
        <v>33602</v>
      </c>
      <c r="F165" s="187"/>
      <c r="G165" s="187">
        <v>37881</v>
      </c>
      <c r="H165" s="187">
        <v>379</v>
      </c>
      <c r="I165" s="187">
        <v>37881</v>
      </c>
      <c r="J165" s="187">
        <v>0</v>
      </c>
      <c r="K165" s="187">
        <v>37881</v>
      </c>
      <c r="L165" s="187">
        <v>0</v>
      </c>
    </row>
    <row r="166" spans="1:12" ht="15">
      <c r="A166" s="187" t="s">
        <v>534</v>
      </c>
      <c r="B166" s="187" t="s">
        <v>535</v>
      </c>
      <c r="C166" s="187">
        <v>33</v>
      </c>
      <c r="D166" s="187">
        <v>12</v>
      </c>
      <c r="E166" s="193">
        <v>33602</v>
      </c>
      <c r="F166" s="187"/>
      <c r="G166" s="187">
        <v>25152</v>
      </c>
      <c r="H166" s="187">
        <v>252</v>
      </c>
      <c r="I166" s="187">
        <v>25152</v>
      </c>
      <c r="J166" s="187">
        <v>0</v>
      </c>
      <c r="K166" s="187">
        <v>25152</v>
      </c>
      <c r="L166" s="187">
        <v>0</v>
      </c>
    </row>
    <row r="167" spans="1:12" ht="15">
      <c r="A167" s="187" t="s">
        <v>536</v>
      </c>
      <c r="B167" s="187" t="s">
        <v>537</v>
      </c>
      <c r="C167" s="187">
        <v>33</v>
      </c>
      <c r="D167" s="187">
        <v>12</v>
      </c>
      <c r="E167" s="193">
        <v>33744</v>
      </c>
      <c r="F167" s="187"/>
      <c r="G167" s="187">
        <v>50061</v>
      </c>
      <c r="H167" s="187">
        <v>501</v>
      </c>
      <c r="I167" s="187">
        <v>50061</v>
      </c>
      <c r="J167" s="187">
        <v>0</v>
      </c>
      <c r="K167" s="187">
        <v>50061</v>
      </c>
      <c r="L167" s="187">
        <v>0</v>
      </c>
    </row>
    <row r="168" spans="1:12" ht="15">
      <c r="A168" s="187" t="s">
        <v>538</v>
      </c>
      <c r="B168" s="187" t="s">
        <v>539</v>
      </c>
      <c r="C168" s="187">
        <v>33</v>
      </c>
      <c r="D168" s="187">
        <v>13.399999999999999</v>
      </c>
      <c r="E168" s="193">
        <v>34819</v>
      </c>
      <c r="F168" s="193">
        <v>44621</v>
      </c>
      <c r="G168" s="187">
        <v>7325</v>
      </c>
      <c r="H168" s="187">
        <v>82</v>
      </c>
      <c r="I168" s="187">
        <v>7325</v>
      </c>
      <c r="J168" s="187">
        <v>0</v>
      </c>
      <c r="K168" s="187">
        <v>7325</v>
      </c>
      <c r="L168" s="187">
        <v>0</v>
      </c>
    </row>
    <row r="169" spans="1:12" ht="15">
      <c r="A169" s="187" t="s">
        <v>540</v>
      </c>
      <c r="B169" s="187" t="s">
        <v>541</v>
      </c>
      <c r="C169" s="187">
        <v>33</v>
      </c>
      <c r="D169" s="187">
        <v>28.599999999999998</v>
      </c>
      <c r="E169" s="193">
        <v>34878</v>
      </c>
      <c r="F169" s="187"/>
      <c r="G169" s="187">
        <v>17680</v>
      </c>
      <c r="H169" s="187">
        <v>422</v>
      </c>
      <c r="I169" s="187">
        <v>17680</v>
      </c>
      <c r="J169" s="187">
        <v>0</v>
      </c>
      <c r="K169" s="187">
        <v>17680</v>
      </c>
      <c r="L169" s="187">
        <v>0</v>
      </c>
    </row>
    <row r="170" spans="1:12" ht="15">
      <c r="A170" s="187">
        <v>15100</v>
      </c>
      <c r="B170" s="187" t="s">
        <v>542</v>
      </c>
      <c r="C170" s="187">
        <v>33</v>
      </c>
      <c r="D170" s="187">
        <v>28.599999999999998</v>
      </c>
      <c r="E170" s="193">
        <v>35004</v>
      </c>
      <c r="F170" s="187"/>
      <c r="G170" s="187">
        <v>14757</v>
      </c>
      <c r="H170" s="187">
        <v>352</v>
      </c>
      <c r="I170" s="187">
        <v>14757</v>
      </c>
      <c r="J170" s="187">
        <v>0</v>
      </c>
      <c r="K170" s="187">
        <v>14757</v>
      </c>
      <c r="L170" s="187">
        <v>0</v>
      </c>
    </row>
    <row r="171" spans="1:12" ht="15">
      <c r="A171" s="187">
        <v>15101</v>
      </c>
      <c r="B171" s="187" t="s">
        <v>543</v>
      </c>
      <c r="C171" s="187">
        <v>33</v>
      </c>
      <c r="D171" s="187">
        <v>28.599999999999998</v>
      </c>
      <c r="E171" s="193">
        <v>35063</v>
      </c>
      <c r="F171" s="187"/>
      <c r="G171" s="187">
        <v>13541</v>
      </c>
      <c r="H171" s="187">
        <v>323</v>
      </c>
      <c r="I171" s="187">
        <v>13541</v>
      </c>
      <c r="J171" s="187">
        <v>0</v>
      </c>
      <c r="K171" s="187">
        <v>13541</v>
      </c>
      <c r="L171" s="187">
        <v>0</v>
      </c>
    </row>
    <row r="172" spans="1:12" ht="15">
      <c r="A172" s="187">
        <v>15102</v>
      </c>
      <c r="B172" s="187" t="s">
        <v>544</v>
      </c>
      <c r="C172" s="187">
        <v>33</v>
      </c>
      <c r="D172" s="187">
        <v>28.599999999999998</v>
      </c>
      <c r="E172" s="193">
        <v>35064</v>
      </c>
      <c r="F172" s="187"/>
      <c r="G172" s="187">
        <v>13541</v>
      </c>
      <c r="H172" s="187">
        <v>323</v>
      </c>
      <c r="I172" s="187">
        <v>13541</v>
      </c>
      <c r="J172" s="187">
        <v>0</v>
      </c>
      <c r="K172" s="187">
        <v>13541</v>
      </c>
      <c r="L172" s="187">
        <v>0</v>
      </c>
    </row>
    <row r="173" spans="1:12" ht="15">
      <c r="A173" s="187">
        <v>15103</v>
      </c>
      <c r="B173" s="187" t="s">
        <v>543</v>
      </c>
      <c r="C173" s="187">
        <v>33</v>
      </c>
      <c r="D173" s="187">
        <v>28.599999999999998</v>
      </c>
      <c r="E173" s="193">
        <v>35064</v>
      </c>
      <c r="F173" s="187"/>
      <c r="G173" s="187">
        <v>13541</v>
      </c>
      <c r="H173" s="187">
        <v>323</v>
      </c>
      <c r="I173" s="187">
        <v>13541</v>
      </c>
      <c r="J173" s="187">
        <v>0</v>
      </c>
      <c r="K173" s="187">
        <v>13541</v>
      </c>
      <c r="L173" s="187">
        <v>0</v>
      </c>
    </row>
    <row r="174" spans="1:12" ht="15">
      <c r="A174" s="187">
        <v>15108</v>
      </c>
      <c r="B174" s="187" t="s">
        <v>545</v>
      </c>
      <c r="C174" s="187">
        <v>33</v>
      </c>
      <c r="D174" s="187">
        <v>13.399999999999999</v>
      </c>
      <c r="E174" s="193">
        <v>35429</v>
      </c>
      <c r="F174" s="187"/>
      <c r="G174" s="187">
        <v>156893</v>
      </c>
      <c r="H174" s="187">
        <v>1752</v>
      </c>
      <c r="I174" s="187">
        <v>156893</v>
      </c>
      <c r="J174" s="187">
        <v>0</v>
      </c>
      <c r="K174" s="187">
        <v>156893</v>
      </c>
      <c r="L174" s="187">
        <v>0</v>
      </c>
    </row>
    <row r="175" spans="1:12" ht="15">
      <c r="A175" s="187">
        <v>15115</v>
      </c>
      <c r="B175" s="187" t="s">
        <v>546</v>
      </c>
      <c r="C175" s="187">
        <v>33</v>
      </c>
      <c r="D175" s="187">
        <v>20</v>
      </c>
      <c r="E175" s="193">
        <v>36524</v>
      </c>
      <c r="F175" s="187"/>
      <c r="G175" s="187">
        <v>286080</v>
      </c>
      <c r="H175" s="187">
        <v>4768</v>
      </c>
      <c r="I175" s="187">
        <v>286080</v>
      </c>
      <c r="J175" s="187">
        <v>0</v>
      </c>
      <c r="K175" s="187">
        <v>286080</v>
      </c>
      <c r="L175" s="187">
        <v>0</v>
      </c>
    </row>
    <row r="176" spans="1:12" ht="15.75" thickBot="1">
      <c r="A176" s="187">
        <v>15121</v>
      </c>
      <c r="B176" s="187" t="s">
        <v>547</v>
      </c>
      <c r="C176" s="187">
        <v>33</v>
      </c>
      <c r="D176" s="187">
        <v>20</v>
      </c>
      <c r="E176" s="193">
        <v>37621</v>
      </c>
      <c r="F176" s="187"/>
      <c r="G176" s="187">
        <v>245775</v>
      </c>
      <c r="H176" s="187">
        <v>4097</v>
      </c>
      <c r="I176" s="187">
        <v>245775</v>
      </c>
      <c r="J176" s="187">
        <v>0</v>
      </c>
      <c r="K176" s="187">
        <v>245775</v>
      </c>
      <c r="L176" s="187">
        <v>0</v>
      </c>
    </row>
    <row r="177" spans="1:12" ht="16.5" thickTop="1" thickBot="1">
      <c r="A177" s="192" t="s">
        <v>548</v>
      </c>
      <c r="B177" s="192"/>
      <c r="C177" s="192"/>
      <c r="D177" s="192"/>
      <c r="E177" s="192"/>
      <c r="F177" s="192"/>
      <c r="G177" s="192">
        <v>910518</v>
      </c>
      <c r="H177" s="192">
        <v>13852</v>
      </c>
      <c r="I177" s="192">
        <v>910518</v>
      </c>
      <c r="J177" s="192">
        <v>0</v>
      </c>
      <c r="K177" s="192">
        <v>910518</v>
      </c>
      <c r="L177" s="192">
        <v>0</v>
      </c>
    </row>
    <row r="178" spans="1:12" ht="15.75" thickTop="1">
      <c r="A178" s="187">
        <v>15126</v>
      </c>
      <c r="B178" s="187" t="s">
        <v>549</v>
      </c>
      <c r="C178" s="187">
        <v>34</v>
      </c>
      <c r="D178" s="187">
        <v>20</v>
      </c>
      <c r="E178" s="193">
        <v>39433</v>
      </c>
      <c r="F178" s="187"/>
      <c r="G178" s="187">
        <v>202184</v>
      </c>
      <c r="H178" s="187">
        <v>3370</v>
      </c>
      <c r="I178" s="187">
        <v>202184</v>
      </c>
      <c r="J178" s="187">
        <v>0</v>
      </c>
      <c r="K178" s="187">
        <v>202184</v>
      </c>
      <c r="L178" s="187">
        <v>0</v>
      </c>
    </row>
    <row r="179" spans="1:12" ht="15">
      <c r="A179" s="187">
        <v>15127</v>
      </c>
      <c r="B179" s="187" t="s">
        <v>550</v>
      </c>
      <c r="C179" s="187">
        <v>34</v>
      </c>
      <c r="D179" s="187">
        <v>20</v>
      </c>
      <c r="E179" s="193">
        <v>39811</v>
      </c>
      <c r="F179" s="187"/>
      <c r="G179" s="187">
        <v>57955</v>
      </c>
      <c r="H179" s="187">
        <v>966</v>
      </c>
      <c r="I179" s="187">
        <v>57955</v>
      </c>
      <c r="J179" s="187">
        <v>0</v>
      </c>
      <c r="K179" s="187">
        <v>57955</v>
      </c>
      <c r="L179" s="187">
        <v>0</v>
      </c>
    </row>
    <row r="180" spans="1:12" ht="15.75" thickBot="1">
      <c r="A180" s="187">
        <v>15283</v>
      </c>
      <c r="B180" s="187" t="s">
        <v>551</v>
      </c>
      <c r="C180" s="187">
        <v>34</v>
      </c>
      <c r="D180" s="187">
        <v>33.299999999999997</v>
      </c>
      <c r="E180" s="193">
        <v>41782</v>
      </c>
      <c r="F180" s="187"/>
      <c r="G180" s="187">
        <v>77100</v>
      </c>
      <c r="H180" s="187">
        <v>2140</v>
      </c>
      <c r="I180" s="187">
        <v>77100</v>
      </c>
      <c r="J180" s="187">
        <v>0</v>
      </c>
      <c r="K180" s="187">
        <v>77100</v>
      </c>
      <c r="L180" s="187">
        <v>0</v>
      </c>
    </row>
    <row r="181" spans="1:12" ht="16.5" thickTop="1" thickBot="1">
      <c r="A181" s="192" t="s">
        <v>552</v>
      </c>
      <c r="B181" s="192"/>
      <c r="C181" s="192"/>
      <c r="D181" s="192"/>
      <c r="E181" s="192"/>
      <c r="F181" s="192"/>
      <c r="G181" s="192">
        <v>337239</v>
      </c>
      <c r="H181" s="192">
        <v>6476</v>
      </c>
      <c r="I181" s="192">
        <v>337239</v>
      </c>
      <c r="J181" s="192">
        <v>0</v>
      </c>
      <c r="K181" s="192">
        <v>337239</v>
      </c>
      <c r="L181" s="192">
        <v>0</v>
      </c>
    </row>
    <row r="182" spans="1:12" ht="16.5" thickTop="1" thickBot="1">
      <c r="A182" s="187" t="s">
        <v>553</v>
      </c>
      <c r="B182" s="187" t="s">
        <v>554</v>
      </c>
      <c r="C182" s="187">
        <v>35</v>
      </c>
      <c r="D182" s="187">
        <v>8</v>
      </c>
      <c r="E182" s="193">
        <v>36854</v>
      </c>
      <c r="F182" s="193">
        <v>44621</v>
      </c>
      <c r="G182" s="187">
        <v>623740</v>
      </c>
      <c r="H182" s="187">
        <v>4159</v>
      </c>
      <c r="I182" s="187">
        <v>623740</v>
      </c>
      <c r="J182" s="187">
        <v>0</v>
      </c>
      <c r="K182" s="187">
        <v>623740</v>
      </c>
      <c r="L182" s="187">
        <v>0</v>
      </c>
    </row>
    <row r="183" spans="1:12" ht="16.5" thickTop="1" thickBot="1">
      <c r="A183" s="192" t="s">
        <v>555</v>
      </c>
      <c r="B183" s="192"/>
      <c r="C183" s="192"/>
      <c r="D183" s="192"/>
      <c r="E183" s="192"/>
      <c r="F183" s="192"/>
      <c r="G183" s="192">
        <v>623740</v>
      </c>
      <c r="H183" s="192">
        <v>4159</v>
      </c>
      <c r="I183" s="192">
        <v>623740</v>
      </c>
      <c r="J183" s="192">
        <v>0</v>
      </c>
      <c r="K183" s="192">
        <v>623740</v>
      </c>
      <c r="L183" s="192">
        <v>0</v>
      </c>
    </row>
    <row r="184" spans="1:12" ht="16.5" thickTop="1" thickBot="1">
      <c r="A184" s="187" t="s">
        <v>556</v>
      </c>
      <c r="B184" s="187" t="s">
        <v>557</v>
      </c>
      <c r="C184" s="187">
        <v>36</v>
      </c>
      <c r="D184" s="187">
        <v>5</v>
      </c>
      <c r="E184" s="193">
        <v>37862</v>
      </c>
      <c r="F184" s="187"/>
      <c r="G184" s="187">
        <v>769785</v>
      </c>
      <c r="H184" s="187">
        <v>3208</v>
      </c>
      <c r="I184" s="187">
        <v>705760</v>
      </c>
      <c r="J184" s="187">
        <v>38496</v>
      </c>
      <c r="K184" s="187">
        <v>744256</v>
      </c>
      <c r="L184" s="187">
        <v>25529</v>
      </c>
    </row>
    <row r="185" spans="1:12" ht="16.5" thickTop="1" thickBot="1">
      <c r="A185" s="192" t="s">
        <v>558</v>
      </c>
      <c r="B185" s="192"/>
      <c r="C185" s="192"/>
      <c r="D185" s="192"/>
      <c r="E185" s="192"/>
      <c r="F185" s="192"/>
      <c r="G185" s="192">
        <v>769785</v>
      </c>
      <c r="H185" s="192">
        <v>3208</v>
      </c>
      <c r="I185" s="192">
        <v>705760</v>
      </c>
      <c r="J185" s="192">
        <v>38496</v>
      </c>
      <c r="K185" s="192">
        <v>744256</v>
      </c>
      <c r="L185" s="192">
        <v>25529</v>
      </c>
    </row>
    <row r="186" spans="1:12" ht="15.75" thickTop="1">
      <c r="A186" s="187">
        <v>15284</v>
      </c>
      <c r="B186" s="187" t="s">
        <v>559</v>
      </c>
      <c r="C186" s="187">
        <v>38</v>
      </c>
      <c r="D186" s="187">
        <v>10</v>
      </c>
      <c r="E186" s="193">
        <v>42206</v>
      </c>
      <c r="F186" s="187"/>
      <c r="G186" s="187">
        <v>659894</v>
      </c>
      <c r="H186" s="187">
        <v>5500</v>
      </c>
      <c r="I186" s="187">
        <v>423500</v>
      </c>
      <c r="J186" s="187">
        <v>66000</v>
      </c>
      <c r="K186" s="187">
        <v>489500</v>
      </c>
      <c r="L186" s="187">
        <v>170394</v>
      </c>
    </row>
    <row r="187" spans="1:12" ht="15">
      <c r="A187" s="187">
        <v>15285</v>
      </c>
      <c r="B187" s="187" t="s">
        <v>560</v>
      </c>
      <c r="C187" s="187">
        <v>38</v>
      </c>
      <c r="D187" s="187">
        <v>10</v>
      </c>
      <c r="E187" s="193">
        <v>42206</v>
      </c>
      <c r="F187" s="187"/>
      <c r="G187" s="187">
        <v>6471</v>
      </c>
      <c r="H187" s="187">
        <v>54</v>
      </c>
      <c r="I187" s="187">
        <v>4158</v>
      </c>
      <c r="J187" s="187">
        <v>648</v>
      </c>
      <c r="K187" s="187">
        <v>4806</v>
      </c>
      <c r="L187" s="187">
        <v>1665</v>
      </c>
    </row>
    <row r="188" spans="1:12" ht="15">
      <c r="A188" s="187">
        <v>15286</v>
      </c>
      <c r="B188" s="187" t="s">
        <v>560</v>
      </c>
      <c r="C188" s="187">
        <v>38</v>
      </c>
      <c r="D188" s="187">
        <v>10</v>
      </c>
      <c r="E188" s="193">
        <v>42206</v>
      </c>
      <c r="F188" s="187"/>
      <c r="G188" s="187">
        <v>6471</v>
      </c>
      <c r="H188" s="187">
        <v>54</v>
      </c>
      <c r="I188" s="187">
        <v>4158</v>
      </c>
      <c r="J188" s="187">
        <v>648</v>
      </c>
      <c r="K188" s="187">
        <v>4806</v>
      </c>
      <c r="L188" s="187">
        <v>1665</v>
      </c>
    </row>
    <row r="189" spans="1:12" ht="15">
      <c r="A189" s="187">
        <v>15287</v>
      </c>
      <c r="B189" s="187" t="s">
        <v>560</v>
      </c>
      <c r="C189" s="187">
        <v>38</v>
      </c>
      <c r="D189" s="187">
        <v>10</v>
      </c>
      <c r="E189" s="193">
        <v>42206</v>
      </c>
      <c r="F189" s="187"/>
      <c r="G189" s="187">
        <v>6471</v>
      </c>
      <c r="H189" s="187">
        <v>54</v>
      </c>
      <c r="I189" s="187">
        <v>4158</v>
      </c>
      <c r="J189" s="187">
        <v>648</v>
      </c>
      <c r="K189" s="187">
        <v>4806</v>
      </c>
      <c r="L189" s="187">
        <v>1665</v>
      </c>
    </row>
    <row r="190" spans="1:12" ht="15">
      <c r="A190" s="187">
        <v>15288</v>
      </c>
      <c r="B190" s="187" t="s">
        <v>560</v>
      </c>
      <c r="C190" s="187">
        <v>38</v>
      </c>
      <c r="D190" s="187">
        <v>10</v>
      </c>
      <c r="E190" s="193">
        <v>42206</v>
      </c>
      <c r="F190" s="187"/>
      <c r="G190" s="187">
        <v>6471</v>
      </c>
      <c r="H190" s="187">
        <v>54</v>
      </c>
      <c r="I190" s="187">
        <v>4158</v>
      </c>
      <c r="J190" s="187">
        <v>648</v>
      </c>
      <c r="K190" s="187">
        <v>4806</v>
      </c>
      <c r="L190" s="187">
        <v>1665</v>
      </c>
    </row>
    <row r="191" spans="1:12" ht="15">
      <c r="A191" s="187">
        <v>15289</v>
      </c>
      <c r="B191" s="187" t="s">
        <v>560</v>
      </c>
      <c r="C191" s="187">
        <v>38</v>
      </c>
      <c r="D191" s="187">
        <v>10</v>
      </c>
      <c r="E191" s="193">
        <v>42206</v>
      </c>
      <c r="F191" s="187"/>
      <c r="G191" s="187">
        <v>6471</v>
      </c>
      <c r="H191" s="187">
        <v>54</v>
      </c>
      <c r="I191" s="187">
        <v>4158</v>
      </c>
      <c r="J191" s="187">
        <v>648</v>
      </c>
      <c r="K191" s="187">
        <v>4806</v>
      </c>
      <c r="L191" s="187">
        <v>1665</v>
      </c>
    </row>
    <row r="192" spans="1:12" ht="15">
      <c r="A192" s="187">
        <v>15290</v>
      </c>
      <c r="B192" s="187" t="s">
        <v>560</v>
      </c>
      <c r="C192" s="187">
        <v>38</v>
      </c>
      <c r="D192" s="187">
        <v>10</v>
      </c>
      <c r="E192" s="193">
        <v>42206</v>
      </c>
      <c r="F192" s="187"/>
      <c r="G192" s="187">
        <v>6471</v>
      </c>
      <c r="H192" s="187">
        <v>54</v>
      </c>
      <c r="I192" s="187">
        <v>4158</v>
      </c>
      <c r="J192" s="187">
        <v>648</v>
      </c>
      <c r="K192" s="187">
        <v>4806</v>
      </c>
      <c r="L192" s="187">
        <v>1665</v>
      </c>
    </row>
    <row r="193" spans="1:12" ht="15">
      <c r="A193" s="187">
        <v>15291</v>
      </c>
      <c r="B193" s="187" t="s">
        <v>560</v>
      </c>
      <c r="C193" s="187">
        <v>38</v>
      </c>
      <c r="D193" s="187">
        <v>10</v>
      </c>
      <c r="E193" s="193">
        <v>42206</v>
      </c>
      <c r="F193" s="187"/>
      <c r="G193" s="187">
        <v>6471</v>
      </c>
      <c r="H193" s="187">
        <v>54</v>
      </c>
      <c r="I193" s="187">
        <v>4158</v>
      </c>
      <c r="J193" s="187">
        <v>648</v>
      </c>
      <c r="K193" s="187">
        <v>4806</v>
      </c>
      <c r="L193" s="187">
        <v>1665</v>
      </c>
    </row>
    <row r="194" spans="1:12" ht="15">
      <c r="A194" s="187">
        <v>15292</v>
      </c>
      <c r="B194" s="187" t="s">
        <v>560</v>
      </c>
      <c r="C194" s="187">
        <v>38</v>
      </c>
      <c r="D194" s="187">
        <v>10</v>
      </c>
      <c r="E194" s="193">
        <v>42206</v>
      </c>
      <c r="F194" s="187"/>
      <c r="G194" s="187">
        <v>6471</v>
      </c>
      <c r="H194" s="187">
        <v>54</v>
      </c>
      <c r="I194" s="187">
        <v>4158</v>
      </c>
      <c r="J194" s="187">
        <v>648</v>
      </c>
      <c r="K194" s="187">
        <v>4806</v>
      </c>
      <c r="L194" s="187">
        <v>1665</v>
      </c>
    </row>
    <row r="195" spans="1:12" ht="15">
      <c r="A195" s="187">
        <v>15293</v>
      </c>
      <c r="B195" s="187" t="s">
        <v>560</v>
      </c>
      <c r="C195" s="187">
        <v>38</v>
      </c>
      <c r="D195" s="187">
        <v>10</v>
      </c>
      <c r="E195" s="193">
        <v>42206</v>
      </c>
      <c r="F195" s="187"/>
      <c r="G195" s="187">
        <v>6471</v>
      </c>
      <c r="H195" s="187">
        <v>54</v>
      </c>
      <c r="I195" s="187">
        <v>4158</v>
      </c>
      <c r="J195" s="187">
        <v>648</v>
      </c>
      <c r="K195" s="187">
        <v>4806</v>
      </c>
      <c r="L195" s="187">
        <v>1665</v>
      </c>
    </row>
    <row r="196" spans="1:12" ht="15">
      <c r="A196" s="187">
        <v>15294</v>
      </c>
      <c r="B196" s="187" t="s">
        <v>560</v>
      </c>
      <c r="C196" s="187">
        <v>38</v>
      </c>
      <c r="D196" s="187">
        <v>10</v>
      </c>
      <c r="E196" s="193">
        <v>42206</v>
      </c>
      <c r="F196" s="187"/>
      <c r="G196" s="187">
        <v>6471</v>
      </c>
      <c r="H196" s="187">
        <v>54</v>
      </c>
      <c r="I196" s="187">
        <v>4158</v>
      </c>
      <c r="J196" s="187">
        <v>648</v>
      </c>
      <c r="K196" s="187">
        <v>4806</v>
      </c>
      <c r="L196" s="187">
        <v>1665</v>
      </c>
    </row>
    <row r="197" spans="1:12" ht="15">
      <c r="A197" s="187">
        <v>15295</v>
      </c>
      <c r="B197" s="187" t="s">
        <v>560</v>
      </c>
      <c r="C197" s="187">
        <v>38</v>
      </c>
      <c r="D197" s="187">
        <v>10</v>
      </c>
      <c r="E197" s="193">
        <v>42206</v>
      </c>
      <c r="F197" s="187"/>
      <c r="G197" s="187">
        <v>6471</v>
      </c>
      <c r="H197" s="187">
        <v>54</v>
      </c>
      <c r="I197" s="187">
        <v>4158</v>
      </c>
      <c r="J197" s="187">
        <v>648</v>
      </c>
      <c r="K197" s="187">
        <v>4806</v>
      </c>
      <c r="L197" s="187">
        <v>1665</v>
      </c>
    </row>
    <row r="198" spans="1:12" ht="15">
      <c r="A198" s="187">
        <v>15296</v>
      </c>
      <c r="B198" s="187" t="s">
        <v>560</v>
      </c>
      <c r="C198" s="187">
        <v>38</v>
      </c>
      <c r="D198" s="187">
        <v>10</v>
      </c>
      <c r="E198" s="193">
        <v>42206</v>
      </c>
      <c r="F198" s="187"/>
      <c r="G198" s="187">
        <v>6471</v>
      </c>
      <c r="H198" s="187">
        <v>54</v>
      </c>
      <c r="I198" s="187">
        <v>4158</v>
      </c>
      <c r="J198" s="187">
        <v>648</v>
      </c>
      <c r="K198" s="187">
        <v>4806</v>
      </c>
      <c r="L198" s="187">
        <v>1665</v>
      </c>
    </row>
    <row r="199" spans="1:12" ht="15">
      <c r="A199" s="187">
        <v>15297</v>
      </c>
      <c r="B199" s="187" t="s">
        <v>560</v>
      </c>
      <c r="C199" s="187">
        <v>38</v>
      </c>
      <c r="D199" s="187">
        <v>10</v>
      </c>
      <c r="E199" s="193">
        <v>42206</v>
      </c>
      <c r="F199" s="187"/>
      <c r="G199" s="187">
        <v>6471</v>
      </c>
      <c r="H199" s="187">
        <v>54</v>
      </c>
      <c r="I199" s="187">
        <v>4158</v>
      </c>
      <c r="J199" s="187">
        <v>648</v>
      </c>
      <c r="K199" s="187">
        <v>4806</v>
      </c>
      <c r="L199" s="187">
        <v>1665</v>
      </c>
    </row>
    <row r="200" spans="1:12" ht="15">
      <c r="A200" s="187">
        <v>15298</v>
      </c>
      <c r="B200" s="187" t="s">
        <v>560</v>
      </c>
      <c r="C200" s="187">
        <v>38</v>
      </c>
      <c r="D200" s="187">
        <v>10</v>
      </c>
      <c r="E200" s="193">
        <v>42206</v>
      </c>
      <c r="F200" s="187"/>
      <c r="G200" s="187">
        <v>6471</v>
      </c>
      <c r="H200" s="187">
        <v>54</v>
      </c>
      <c r="I200" s="187">
        <v>4158</v>
      </c>
      <c r="J200" s="187">
        <v>648</v>
      </c>
      <c r="K200" s="187">
        <v>4806</v>
      </c>
      <c r="L200" s="187">
        <v>1665</v>
      </c>
    </row>
    <row r="201" spans="1:12" ht="15">
      <c r="A201" s="187">
        <v>15299</v>
      </c>
      <c r="B201" s="187" t="s">
        <v>560</v>
      </c>
      <c r="C201" s="187">
        <v>38</v>
      </c>
      <c r="D201" s="187">
        <v>10</v>
      </c>
      <c r="E201" s="193">
        <v>42206</v>
      </c>
      <c r="F201" s="187"/>
      <c r="G201" s="187">
        <v>6471</v>
      </c>
      <c r="H201" s="187">
        <v>54</v>
      </c>
      <c r="I201" s="187">
        <v>4158</v>
      </c>
      <c r="J201" s="187">
        <v>648</v>
      </c>
      <c r="K201" s="187">
        <v>4806</v>
      </c>
      <c r="L201" s="187">
        <v>1665</v>
      </c>
    </row>
    <row r="202" spans="1:12" ht="15">
      <c r="A202" s="187">
        <v>15300</v>
      </c>
      <c r="B202" s="187" t="s">
        <v>560</v>
      </c>
      <c r="C202" s="187">
        <v>38</v>
      </c>
      <c r="D202" s="187">
        <v>10</v>
      </c>
      <c r="E202" s="193">
        <v>42206</v>
      </c>
      <c r="F202" s="187"/>
      <c r="G202" s="187">
        <v>6471</v>
      </c>
      <c r="H202" s="187">
        <v>54</v>
      </c>
      <c r="I202" s="187">
        <v>4158</v>
      </c>
      <c r="J202" s="187">
        <v>648</v>
      </c>
      <c r="K202" s="187">
        <v>4806</v>
      </c>
      <c r="L202" s="187">
        <v>1665</v>
      </c>
    </row>
    <row r="203" spans="1:12" ht="15">
      <c r="A203" s="187">
        <v>15301</v>
      </c>
      <c r="B203" s="187" t="s">
        <v>560</v>
      </c>
      <c r="C203" s="187">
        <v>38</v>
      </c>
      <c r="D203" s="187">
        <v>10</v>
      </c>
      <c r="E203" s="193">
        <v>42206</v>
      </c>
      <c r="F203" s="187"/>
      <c r="G203" s="187">
        <v>6471</v>
      </c>
      <c r="H203" s="187">
        <v>54</v>
      </c>
      <c r="I203" s="187">
        <v>4158</v>
      </c>
      <c r="J203" s="187">
        <v>648</v>
      </c>
      <c r="K203" s="187">
        <v>4806</v>
      </c>
      <c r="L203" s="187">
        <v>1665</v>
      </c>
    </row>
    <row r="204" spans="1:12" ht="15">
      <c r="A204" s="187">
        <v>15302</v>
      </c>
      <c r="B204" s="187" t="s">
        <v>560</v>
      </c>
      <c r="C204" s="187">
        <v>38</v>
      </c>
      <c r="D204" s="187">
        <v>10</v>
      </c>
      <c r="E204" s="193">
        <v>42206</v>
      </c>
      <c r="F204" s="187"/>
      <c r="G204" s="187">
        <v>6471</v>
      </c>
      <c r="H204" s="187">
        <v>54</v>
      </c>
      <c r="I204" s="187">
        <v>4158</v>
      </c>
      <c r="J204" s="187">
        <v>648</v>
      </c>
      <c r="K204" s="187">
        <v>4806</v>
      </c>
      <c r="L204" s="187">
        <v>1665</v>
      </c>
    </row>
    <row r="205" spans="1:12" ht="15">
      <c r="A205" s="187">
        <v>15303</v>
      </c>
      <c r="B205" s="187" t="s">
        <v>560</v>
      </c>
      <c r="C205" s="187">
        <v>38</v>
      </c>
      <c r="D205" s="187">
        <v>10</v>
      </c>
      <c r="E205" s="193">
        <v>42206</v>
      </c>
      <c r="F205" s="187"/>
      <c r="G205" s="187">
        <v>6471</v>
      </c>
      <c r="H205" s="187">
        <v>54</v>
      </c>
      <c r="I205" s="187">
        <v>4158</v>
      </c>
      <c r="J205" s="187">
        <v>648</v>
      </c>
      <c r="K205" s="187">
        <v>4806</v>
      </c>
      <c r="L205" s="187">
        <v>1665</v>
      </c>
    </row>
    <row r="206" spans="1:12" ht="15">
      <c r="A206" s="187">
        <v>15304</v>
      </c>
      <c r="B206" s="187" t="s">
        <v>560</v>
      </c>
      <c r="C206" s="187">
        <v>38</v>
      </c>
      <c r="D206" s="187">
        <v>10</v>
      </c>
      <c r="E206" s="193">
        <v>42206</v>
      </c>
      <c r="F206" s="187"/>
      <c r="G206" s="187">
        <v>6471</v>
      </c>
      <c r="H206" s="187">
        <v>54</v>
      </c>
      <c r="I206" s="187">
        <v>4158</v>
      </c>
      <c r="J206" s="187">
        <v>648</v>
      </c>
      <c r="K206" s="187">
        <v>4806</v>
      </c>
      <c r="L206" s="187">
        <v>1665</v>
      </c>
    </row>
    <row r="207" spans="1:12" ht="15">
      <c r="A207" s="187">
        <v>15305</v>
      </c>
      <c r="B207" s="187" t="s">
        <v>560</v>
      </c>
      <c r="C207" s="187">
        <v>38</v>
      </c>
      <c r="D207" s="187">
        <v>10</v>
      </c>
      <c r="E207" s="193">
        <v>42206</v>
      </c>
      <c r="F207" s="187"/>
      <c r="G207" s="187">
        <v>6471</v>
      </c>
      <c r="H207" s="187">
        <v>54</v>
      </c>
      <c r="I207" s="187">
        <v>4158</v>
      </c>
      <c r="J207" s="187">
        <v>648</v>
      </c>
      <c r="K207" s="187">
        <v>4806</v>
      </c>
      <c r="L207" s="187">
        <v>1665</v>
      </c>
    </row>
    <row r="208" spans="1:12" ht="15">
      <c r="A208" s="187">
        <v>15306</v>
      </c>
      <c r="B208" s="187" t="s">
        <v>560</v>
      </c>
      <c r="C208" s="187">
        <v>38</v>
      </c>
      <c r="D208" s="187">
        <v>10</v>
      </c>
      <c r="E208" s="193">
        <v>42206</v>
      </c>
      <c r="F208" s="187"/>
      <c r="G208" s="187">
        <v>6471</v>
      </c>
      <c r="H208" s="187">
        <v>54</v>
      </c>
      <c r="I208" s="187">
        <v>4158</v>
      </c>
      <c r="J208" s="187">
        <v>648</v>
      </c>
      <c r="K208" s="187">
        <v>4806</v>
      </c>
      <c r="L208" s="187">
        <v>1665</v>
      </c>
    </row>
    <row r="209" spans="1:12" ht="15">
      <c r="A209" s="187">
        <v>15307</v>
      </c>
      <c r="B209" s="187" t="s">
        <v>560</v>
      </c>
      <c r="C209" s="187">
        <v>38</v>
      </c>
      <c r="D209" s="187">
        <v>10</v>
      </c>
      <c r="E209" s="193">
        <v>42206</v>
      </c>
      <c r="F209" s="187"/>
      <c r="G209" s="187">
        <v>6471</v>
      </c>
      <c r="H209" s="187">
        <v>54</v>
      </c>
      <c r="I209" s="187">
        <v>4158</v>
      </c>
      <c r="J209" s="187">
        <v>648</v>
      </c>
      <c r="K209" s="187">
        <v>4806</v>
      </c>
      <c r="L209" s="187">
        <v>1665</v>
      </c>
    </row>
    <row r="210" spans="1:12" ht="15">
      <c r="A210" s="187">
        <v>15308</v>
      </c>
      <c r="B210" s="187" t="s">
        <v>560</v>
      </c>
      <c r="C210" s="187">
        <v>38</v>
      </c>
      <c r="D210" s="187">
        <v>10</v>
      </c>
      <c r="E210" s="193">
        <v>42206</v>
      </c>
      <c r="F210" s="187"/>
      <c r="G210" s="187">
        <v>6471</v>
      </c>
      <c r="H210" s="187">
        <v>54</v>
      </c>
      <c r="I210" s="187">
        <v>4158</v>
      </c>
      <c r="J210" s="187">
        <v>648</v>
      </c>
      <c r="K210" s="187">
        <v>4806</v>
      </c>
      <c r="L210" s="187">
        <v>1665</v>
      </c>
    </row>
    <row r="211" spans="1:12" ht="15">
      <c r="A211" s="187">
        <v>15309</v>
      </c>
      <c r="B211" s="187" t="s">
        <v>560</v>
      </c>
      <c r="C211" s="187">
        <v>38</v>
      </c>
      <c r="D211" s="187">
        <v>10</v>
      </c>
      <c r="E211" s="193">
        <v>42206</v>
      </c>
      <c r="F211" s="187"/>
      <c r="G211" s="187">
        <v>6471</v>
      </c>
      <c r="H211" s="187">
        <v>54</v>
      </c>
      <c r="I211" s="187">
        <v>4158</v>
      </c>
      <c r="J211" s="187">
        <v>648</v>
      </c>
      <c r="K211" s="187">
        <v>4806</v>
      </c>
      <c r="L211" s="187">
        <v>1665</v>
      </c>
    </row>
    <row r="212" spans="1:12" ht="15">
      <c r="A212" s="187">
        <v>15310</v>
      </c>
      <c r="B212" s="187" t="s">
        <v>560</v>
      </c>
      <c r="C212" s="187">
        <v>38</v>
      </c>
      <c r="D212" s="187">
        <v>10</v>
      </c>
      <c r="E212" s="193">
        <v>42206</v>
      </c>
      <c r="F212" s="187"/>
      <c r="G212" s="187">
        <v>6471</v>
      </c>
      <c r="H212" s="187">
        <v>54</v>
      </c>
      <c r="I212" s="187">
        <v>4158</v>
      </c>
      <c r="J212" s="187">
        <v>648</v>
      </c>
      <c r="K212" s="187">
        <v>4806</v>
      </c>
      <c r="L212" s="187">
        <v>1665</v>
      </c>
    </row>
    <row r="213" spans="1:12" ht="15">
      <c r="A213" s="187">
        <v>15311</v>
      </c>
      <c r="B213" s="187" t="s">
        <v>560</v>
      </c>
      <c r="C213" s="187">
        <v>38</v>
      </c>
      <c r="D213" s="187">
        <v>10</v>
      </c>
      <c r="E213" s="193">
        <v>42206</v>
      </c>
      <c r="F213" s="187"/>
      <c r="G213" s="187">
        <v>6471</v>
      </c>
      <c r="H213" s="187">
        <v>54</v>
      </c>
      <c r="I213" s="187">
        <v>4158</v>
      </c>
      <c r="J213" s="187">
        <v>648</v>
      </c>
      <c r="K213" s="187">
        <v>4806</v>
      </c>
      <c r="L213" s="187">
        <v>1665</v>
      </c>
    </row>
    <row r="214" spans="1:12" ht="15">
      <c r="A214" s="187">
        <v>15312</v>
      </c>
      <c r="B214" s="187" t="s">
        <v>560</v>
      </c>
      <c r="C214" s="187">
        <v>38</v>
      </c>
      <c r="D214" s="187">
        <v>10</v>
      </c>
      <c r="E214" s="193">
        <v>42206</v>
      </c>
      <c r="F214" s="187"/>
      <c r="G214" s="187">
        <v>6471</v>
      </c>
      <c r="H214" s="187">
        <v>54</v>
      </c>
      <c r="I214" s="187">
        <v>4158</v>
      </c>
      <c r="J214" s="187">
        <v>648</v>
      </c>
      <c r="K214" s="187">
        <v>4806</v>
      </c>
      <c r="L214" s="187">
        <v>1665</v>
      </c>
    </row>
    <row r="215" spans="1:12" ht="15">
      <c r="A215" s="187">
        <v>15313</v>
      </c>
      <c r="B215" s="187" t="s">
        <v>560</v>
      </c>
      <c r="C215" s="187">
        <v>38</v>
      </c>
      <c r="D215" s="187">
        <v>10</v>
      </c>
      <c r="E215" s="193">
        <v>42206</v>
      </c>
      <c r="F215" s="187"/>
      <c r="G215" s="187">
        <v>6471</v>
      </c>
      <c r="H215" s="187">
        <v>54</v>
      </c>
      <c r="I215" s="187">
        <v>4158</v>
      </c>
      <c r="J215" s="187">
        <v>648</v>
      </c>
      <c r="K215" s="187">
        <v>4806</v>
      </c>
      <c r="L215" s="187">
        <v>1665</v>
      </c>
    </row>
    <row r="216" spans="1:12" ht="15">
      <c r="A216" s="187">
        <v>15314</v>
      </c>
      <c r="B216" s="187" t="s">
        <v>560</v>
      </c>
      <c r="C216" s="187">
        <v>38</v>
      </c>
      <c r="D216" s="187">
        <v>10</v>
      </c>
      <c r="E216" s="193">
        <v>42206</v>
      </c>
      <c r="F216" s="187"/>
      <c r="G216" s="187">
        <v>6471</v>
      </c>
      <c r="H216" s="187">
        <v>54</v>
      </c>
      <c r="I216" s="187">
        <v>4158</v>
      </c>
      <c r="J216" s="187">
        <v>648</v>
      </c>
      <c r="K216" s="187">
        <v>4806</v>
      </c>
      <c r="L216" s="187">
        <v>1665</v>
      </c>
    </row>
    <row r="217" spans="1:12" ht="15">
      <c r="A217" s="187">
        <v>15315</v>
      </c>
      <c r="B217" s="187" t="s">
        <v>560</v>
      </c>
      <c r="C217" s="187">
        <v>38</v>
      </c>
      <c r="D217" s="187">
        <v>10</v>
      </c>
      <c r="E217" s="193">
        <v>42206</v>
      </c>
      <c r="F217" s="187"/>
      <c r="G217" s="187">
        <v>6471</v>
      </c>
      <c r="H217" s="187">
        <v>54</v>
      </c>
      <c r="I217" s="187">
        <v>4158</v>
      </c>
      <c r="J217" s="187">
        <v>648</v>
      </c>
      <c r="K217" s="187">
        <v>4806</v>
      </c>
      <c r="L217" s="187">
        <v>1665</v>
      </c>
    </row>
    <row r="218" spans="1:12" ht="15">
      <c r="A218" s="187">
        <v>15316</v>
      </c>
      <c r="B218" s="187" t="s">
        <v>560</v>
      </c>
      <c r="C218" s="187">
        <v>38</v>
      </c>
      <c r="D218" s="187">
        <v>10</v>
      </c>
      <c r="E218" s="193">
        <v>42206</v>
      </c>
      <c r="F218" s="187"/>
      <c r="G218" s="187">
        <v>6471</v>
      </c>
      <c r="H218" s="187">
        <v>54</v>
      </c>
      <c r="I218" s="187">
        <v>4158</v>
      </c>
      <c r="J218" s="187">
        <v>648</v>
      </c>
      <c r="K218" s="187">
        <v>4806</v>
      </c>
      <c r="L218" s="187">
        <v>1665</v>
      </c>
    </row>
    <row r="219" spans="1:12" ht="15">
      <c r="A219" s="187">
        <v>15317</v>
      </c>
      <c r="B219" s="187" t="s">
        <v>560</v>
      </c>
      <c r="C219" s="187">
        <v>38</v>
      </c>
      <c r="D219" s="187">
        <v>10</v>
      </c>
      <c r="E219" s="193">
        <v>42206</v>
      </c>
      <c r="F219" s="187"/>
      <c r="G219" s="187">
        <v>6471</v>
      </c>
      <c r="H219" s="187">
        <v>54</v>
      </c>
      <c r="I219" s="187">
        <v>4158</v>
      </c>
      <c r="J219" s="187">
        <v>648</v>
      </c>
      <c r="K219" s="187">
        <v>4806</v>
      </c>
      <c r="L219" s="187">
        <v>1665</v>
      </c>
    </row>
    <row r="220" spans="1:12" ht="15">
      <c r="A220" s="187">
        <v>15318</v>
      </c>
      <c r="B220" s="187" t="s">
        <v>560</v>
      </c>
      <c r="C220" s="187">
        <v>38</v>
      </c>
      <c r="D220" s="187">
        <v>10</v>
      </c>
      <c r="E220" s="193">
        <v>42206</v>
      </c>
      <c r="F220" s="187"/>
      <c r="G220" s="187">
        <v>6471</v>
      </c>
      <c r="H220" s="187">
        <v>54</v>
      </c>
      <c r="I220" s="187">
        <v>4158</v>
      </c>
      <c r="J220" s="187">
        <v>648</v>
      </c>
      <c r="K220" s="187">
        <v>4806</v>
      </c>
      <c r="L220" s="187">
        <v>1665</v>
      </c>
    </row>
    <row r="221" spans="1:12" ht="15">
      <c r="A221" s="187">
        <v>15319</v>
      </c>
      <c r="B221" s="187" t="s">
        <v>560</v>
      </c>
      <c r="C221" s="187">
        <v>38</v>
      </c>
      <c r="D221" s="187">
        <v>10</v>
      </c>
      <c r="E221" s="193">
        <v>42206</v>
      </c>
      <c r="F221" s="187"/>
      <c r="G221" s="187">
        <v>6471</v>
      </c>
      <c r="H221" s="187">
        <v>54</v>
      </c>
      <c r="I221" s="187">
        <v>4158</v>
      </c>
      <c r="J221" s="187">
        <v>648</v>
      </c>
      <c r="K221" s="187">
        <v>4806</v>
      </c>
      <c r="L221" s="187">
        <v>1665</v>
      </c>
    </row>
    <row r="222" spans="1:12" ht="15">
      <c r="A222" s="187">
        <v>15320</v>
      </c>
      <c r="B222" s="187" t="s">
        <v>560</v>
      </c>
      <c r="C222" s="187">
        <v>38</v>
      </c>
      <c r="D222" s="187">
        <v>10</v>
      </c>
      <c r="E222" s="193">
        <v>42206</v>
      </c>
      <c r="F222" s="187"/>
      <c r="G222" s="187">
        <v>6471</v>
      </c>
      <c r="H222" s="187">
        <v>54</v>
      </c>
      <c r="I222" s="187">
        <v>4158</v>
      </c>
      <c r="J222" s="187">
        <v>648</v>
      </c>
      <c r="K222" s="187">
        <v>4806</v>
      </c>
      <c r="L222" s="187">
        <v>1665</v>
      </c>
    </row>
    <row r="223" spans="1:12" ht="15">
      <c r="A223" s="187">
        <v>15321</v>
      </c>
      <c r="B223" s="187" t="s">
        <v>560</v>
      </c>
      <c r="C223" s="187">
        <v>38</v>
      </c>
      <c r="D223" s="187">
        <v>10</v>
      </c>
      <c r="E223" s="193">
        <v>42206</v>
      </c>
      <c r="F223" s="187"/>
      <c r="G223" s="187">
        <v>6471</v>
      </c>
      <c r="H223" s="187">
        <v>54</v>
      </c>
      <c r="I223" s="187">
        <v>4158</v>
      </c>
      <c r="J223" s="187">
        <v>648</v>
      </c>
      <c r="K223" s="187">
        <v>4806</v>
      </c>
      <c r="L223" s="187">
        <v>1665</v>
      </c>
    </row>
    <row r="224" spans="1:12" ht="15">
      <c r="A224" s="187">
        <v>15322</v>
      </c>
      <c r="B224" s="187" t="s">
        <v>560</v>
      </c>
      <c r="C224" s="187">
        <v>38</v>
      </c>
      <c r="D224" s="187">
        <v>10</v>
      </c>
      <c r="E224" s="193">
        <v>42206</v>
      </c>
      <c r="F224" s="187"/>
      <c r="G224" s="187">
        <v>6471</v>
      </c>
      <c r="H224" s="187">
        <v>54</v>
      </c>
      <c r="I224" s="187">
        <v>4158</v>
      </c>
      <c r="J224" s="187">
        <v>648</v>
      </c>
      <c r="K224" s="187">
        <v>4806</v>
      </c>
      <c r="L224" s="187">
        <v>1665</v>
      </c>
    </row>
    <row r="225" spans="1:12" ht="15">
      <c r="A225" s="187">
        <v>15323</v>
      </c>
      <c r="B225" s="187" t="s">
        <v>560</v>
      </c>
      <c r="C225" s="187">
        <v>38</v>
      </c>
      <c r="D225" s="187">
        <v>10</v>
      </c>
      <c r="E225" s="193">
        <v>42206</v>
      </c>
      <c r="F225" s="187"/>
      <c r="G225" s="187">
        <v>6471</v>
      </c>
      <c r="H225" s="187">
        <v>54</v>
      </c>
      <c r="I225" s="187">
        <v>4158</v>
      </c>
      <c r="J225" s="187">
        <v>648</v>
      </c>
      <c r="K225" s="187">
        <v>4806</v>
      </c>
      <c r="L225" s="187">
        <v>1665</v>
      </c>
    </row>
    <row r="226" spans="1:12" ht="15">
      <c r="A226" s="187">
        <v>15324</v>
      </c>
      <c r="B226" s="187" t="s">
        <v>560</v>
      </c>
      <c r="C226" s="187">
        <v>38</v>
      </c>
      <c r="D226" s="187">
        <v>10</v>
      </c>
      <c r="E226" s="193">
        <v>42206</v>
      </c>
      <c r="F226" s="187"/>
      <c r="G226" s="187">
        <v>6471</v>
      </c>
      <c r="H226" s="187">
        <v>54</v>
      </c>
      <c r="I226" s="187">
        <v>4158</v>
      </c>
      <c r="J226" s="187">
        <v>648</v>
      </c>
      <c r="K226" s="187">
        <v>4806</v>
      </c>
      <c r="L226" s="187">
        <v>1665</v>
      </c>
    </row>
    <row r="227" spans="1:12" ht="15">
      <c r="A227" s="187">
        <v>15325</v>
      </c>
      <c r="B227" s="187" t="s">
        <v>560</v>
      </c>
      <c r="C227" s="187">
        <v>38</v>
      </c>
      <c r="D227" s="187">
        <v>10</v>
      </c>
      <c r="E227" s="193">
        <v>42206</v>
      </c>
      <c r="F227" s="187"/>
      <c r="G227" s="187">
        <v>6471</v>
      </c>
      <c r="H227" s="187">
        <v>54</v>
      </c>
      <c r="I227" s="187">
        <v>4158</v>
      </c>
      <c r="J227" s="187">
        <v>648</v>
      </c>
      <c r="K227" s="187">
        <v>4806</v>
      </c>
      <c r="L227" s="187">
        <v>1665</v>
      </c>
    </row>
    <row r="228" spans="1:12" ht="15">
      <c r="A228" s="187">
        <v>15326</v>
      </c>
      <c r="B228" s="187" t="s">
        <v>560</v>
      </c>
      <c r="C228" s="187">
        <v>38</v>
      </c>
      <c r="D228" s="187">
        <v>10</v>
      </c>
      <c r="E228" s="193">
        <v>42206</v>
      </c>
      <c r="F228" s="187"/>
      <c r="G228" s="187">
        <v>6471</v>
      </c>
      <c r="H228" s="187">
        <v>54</v>
      </c>
      <c r="I228" s="187">
        <v>4158</v>
      </c>
      <c r="J228" s="187">
        <v>648</v>
      </c>
      <c r="K228" s="187">
        <v>4806</v>
      </c>
      <c r="L228" s="187">
        <v>1665</v>
      </c>
    </row>
    <row r="229" spans="1:12" ht="15">
      <c r="A229" s="187">
        <v>15327</v>
      </c>
      <c r="B229" s="187" t="s">
        <v>560</v>
      </c>
      <c r="C229" s="187">
        <v>38</v>
      </c>
      <c r="D229" s="187">
        <v>10</v>
      </c>
      <c r="E229" s="193">
        <v>42206</v>
      </c>
      <c r="F229" s="187"/>
      <c r="G229" s="187">
        <v>6471</v>
      </c>
      <c r="H229" s="187">
        <v>54</v>
      </c>
      <c r="I229" s="187">
        <v>4158</v>
      </c>
      <c r="J229" s="187">
        <v>648</v>
      </c>
      <c r="K229" s="187">
        <v>4806</v>
      </c>
      <c r="L229" s="187">
        <v>1665</v>
      </c>
    </row>
    <row r="230" spans="1:12" ht="15">
      <c r="A230" s="187">
        <v>15328</v>
      </c>
      <c r="B230" s="187" t="s">
        <v>560</v>
      </c>
      <c r="C230" s="187">
        <v>38</v>
      </c>
      <c r="D230" s="187">
        <v>10</v>
      </c>
      <c r="E230" s="193">
        <v>42206</v>
      </c>
      <c r="F230" s="187"/>
      <c r="G230" s="187">
        <v>6471</v>
      </c>
      <c r="H230" s="187">
        <v>54</v>
      </c>
      <c r="I230" s="187">
        <v>4158</v>
      </c>
      <c r="J230" s="187">
        <v>648</v>
      </c>
      <c r="K230" s="187">
        <v>4806</v>
      </c>
      <c r="L230" s="187">
        <v>1665</v>
      </c>
    </row>
    <row r="231" spans="1:12" ht="15">
      <c r="A231" s="187">
        <v>15329</v>
      </c>
      <c r="B231" s="187" t="s">
        <v>560</v>
      </c>
      <c r="C231" s="187">
        <v>38</v>
      </c>
      <c r="D231" s="187">
        <v>10</v>
      </c>
      <c r="E231" s="193">
        <v>42206</v>
      </c>
      <c r="F231" s="187"/>
      <c r="G231" s="187">
        <v>6471</v>
      </c>
      <c r="H231" s="187">
        <v>54</v>
      </c>
      <c r="I231" s="187">
        <v>4158</v>
      </c>
      <c r="J231" s="187">
        <v>648</v>
      </c>
      <c r="K231" s="187">
        <v>4806</v>
      </c>
      <c r="L231" s="187">
        <v>1665</v>
      </c>
    </row>
    <row r="232" spans="1:12" ht="15">
      <c r="A232" s="187">
        <v>15330</v>
      </c>
      <c r="B232" s="187" t="s">
        <v>560</v>
      </c>
      <c r="C232" s="187">
        <v>38</v>
      </c>
      <c r="D232" s="187">
        <v>10</v>
      </c>
      <c r="E232" s="193">
        <v>42206</v>
      </c>
      <c r="F232" s="187"/>
      <c r="G232" s="187">
        <v>6471</v>
      </c>
      <c r="H232" s="187">
        <v>54</v>
      </c>
      <c r="I232" s="187">
        <v>4158</v>
      </c>
      <c r="J232" s="187">
        <v>648</v>
      </c>
      <c r="K232" s="187">
        <v>4806</v>
      </c>
      <c r="L232" s="187">
        <v>1665</v>
      </c>
    </row>
    <row r="233" spans="1:12" ht="15">
      <c r="A233" s="187">
        <v>15331</v>
      </c>
      <c r="B233" s="187" t="s">
        <v>560</v>
      </c>
      <c r="C233" s="187">
        <v>38</v>
      </c>
      <c r="D233" s="187">
        <v>10</v>
      </c>
      <c r="E233" s="193">
        <v>42206</v>
      </c>
      <c r="F233" s="187"/>
      <c r="G233" s="187">
        <v>6471</v>
      </c>
      <c r="H233" s="187">
        <v>54</v>
      </c>
      <c r="I233" s="187">
        <v>4158</v>
      </c>
      <c r="J233" s="187">
        <v>648</v>
      </c>
      <c r="K233" s="187">
        <v>4806</v>
      </c>
      <c r="L233" s="187">
        <v>1665</v>
      </c>
    </row>
    <row r="234" spans="1:12" ht="15">
      <c r="A234" s="187">
        <v>15332</v>
      </c>
      <c r="B234" s="187" t="s">
        <v>560</v>
      </c>
      <c r="C234" s="187">
        <v>38</v>
      </c>
      <c r="D234" s="187">
        <v>10</v>
      </c>
      <c r="E234" s="193">
        <v>42206</v>
      </c>
      <c r="F234" s="187"/>
      <c r="G234" s="187">
        <v>6471</v>
      </c>
      <c r="H234" s="187">
        <v>54</v>
      </c>
      <c r="I234" s="187">
        <v>4158</v>
      </c>
      <c r="J234" s="187">
        <v>648</v>
      </c>
      <c r="K234" s="187">
        <v>4806</v>
      </c>
      <c r="L234" s="187">
        <v>1665</v>
      </c>
    </row>
    <row r="235" spans="1:12" ht="15">
      <c r="A235" s="187">
        <v>15333</v>
      </c>
      <c r="B235" s="187" t="s">
        <v>560</v>
      </c>
      <c r="C235" s="187">
        <v>38</v>
      </c>
      <c r="D235" s="187">
        <v>10</v>
      </c>
      <c r="E235" s="193">
        <v>42206</v>
      </c>
      <c r="F235" s="187"/>
      <c r="G235" s="187">
        <v>6471</v>
      </c>
      <c r="H235" s="187">
        <v>54</v>
      </c>
      <c r="I235" s="187">
        <v>4158</v>
      </c>
      <c r="J235" s="187">
        <v>648</v>
      </c>
      <c r="K235" s="187">
        <v>4806</v>
      </c>
      <c r="L235" s="187">
        <v>1665</v>
      </c>
    </row>
    <row r="236" spans="1:12" ht="15">
      <c r="A236" s="187">
        <v>15334</v>
      </c>
      <c r="B236" s="187" t="s">
        <v>560</v>
      </c>
      <c r="C236" s="187">
        <v>38</v>
      </c>
      <c r="D236" s="187">
        <v>10</v>
      </c>
      <c r="E236" s="193">
        <v>42206</v>
      </c>
      <c r="F236" s="187"/>
      <c r="G236" s="187">
        <v>6471</v>
      </c>
      <c r="H236" s="187">
        <v>54</v>
      </c>
      <c r="I236" s="187">
        <v>4158</v>
      </c>
      <c r="J236" s="187">
        <v>648</v>
      </c>
      <c r="K236" s="187">
        <v>4806</v>
      </c>
      <c r="L236" s="187">
        <v>1665</v>
      </c>
    </row>
    <row r="237" spans="1:12" ht="15">
      <c r="A237" s="187">
        <v>15335</v>
      </c>
      <c r="B237" s="187" t="s">
        <v>560</v>
      </c>
      <c r="C237" s="187">
        <v>38</v>
      </c>
      <c r="D237" s="187">
        <v>10</v>
      </c>
      <c r="E237" s="193">
        <v>42206</v>
      </c>
      <c r="F237" s="187"/>
      <c r="G237" s="187">
        <v>6471</v>
      </c>
      <c r="H237" s="187">
        <v>54</v>
      </c>
      <c r="I237" s="187">
        <v>4158</v>
      </c>
      <c r="J237" s="187">
        <v>648</v>
      </c>
      <c r="K237" s="187">
        <v>4806</v>
      </c>
      <c r="L237" s="187">
        <v>1665</v>
      </c>
    </row>
    <row r="238" spans="1:12" ht="15">
      <c r="A238" s="187">
        <v>15336</v>
      </c>
      <c r="B238" s="187" t="s">
        <v>560</v>
      </c>
      <c r="C238" s="187">
        <v>38</v>
      </c>
      <c r="D238" s="187">
        <v>10</v>
      </c>
      <c r="E238" s="193">
        <v>42206</v>
      </c>
      <c r="F238" s="187"/>
      <c r="G238" s="187">
        <v>6471</v>
      </c>
      <c r="H238" s="187">
        <v>54</v>
      </c>
      <c r="I238" s="187">
        <v>4158</v>
      </c>
      <c r="J238" s="187">
        <v>648</v>
      </c>
      <c r="K238" s="187">
        <v>4806</v>
      </c>
      <c r="L238" s="187">
        <v>1665</v>
      </c>
    </row>
    <row r="239" spans="1:12" ht="15">
      <c r="A239" s="187">
        <v>15337</v>
      </c>
      <c r="B239" s="187" t="s">
        <v>560</v>
      </c>
      <c r="C239" s="187">
        <v>38</v>
      </c>
      <c r="D239" s="187">
        <v>10</v>
      </c>
      <c r="E239" s="193">
        <v>42206</v>
      </c>
      <c r="F239" s="187"/>
      <c r="G239" s="187">
        <v>6471</v>
      </c>
      <c r="H239" s="187">
        <v>54</v>
      </c>
      <c r="I239" s="187">
        <v>4158</v>
      </c>
      <c r="J239" s="187">
        <v>648</v>
      </c>
      <c r="K239" s="187">
        <v>4806</v>
      </c>
      <c r="L239" s="187">
        <v>1665</v>
      </c>
    </row>
    <row r="240" spans="1:12" ht="15">
      <c r="A240" s="187">
        <v>15338</v>
      </c>
      <c r="B240" s="187" t="s">
        <v>560</v>
      </c>
      <c r="C240" s="187">
        <v>38</v>
      </c>
      <c r="D240" s="187">
        <v>10</v>
      </c>
      <c r="E240" s="193">
        <v>42206</v>
      </c>
      <c r="F240" s="187"/>
      <c r="G240" s="187">
        <v>6471</v>
      </c>
      <c r="H240" s="187">
        <v>54</v>
      </c>
      <c r="I240" s="187">
        <v>4158</v>
      </c>
      <c r="J240" s="187">
        <v>648</v>
      </c>
      <c r="K240" s="187">
        <v>4806</v>
      </c>
      <c r="L240" s="187">
        <v>1665</v>
      </c>
    </row>
    <row r="241" spans="1:12" ht="15">
      <c r="A241" s="187">
        <v>15339</v>
      </c>
      <c r="B241" s="187" t="s">
        <v>560</v>
      </c>
      <c r="C241" s="187">
        <v>38</v>
      </c>
      <c r="D241" s="187">
        <v>10</v>
      </c>
      <c r="E241" s="193">
        <v>42206</v>
      </c>
      <c r="F241" s="187"/>
      <c r="G241" s="187">
        <v>6471</v>
      </c>
      <c r="H241" s="187">
        <v>54</v>
      </c>
      <c r="I241" s="187">
        <v>4158</v>
      </c>
      <c r="J241" s="187">
        <v>648</v>
      </c>
      <c r="K241" s="187">
        <v>4806</v>
      </c>
      <c r="L241" s="187">
        <v>1665</v>
      </c>
    </row>
    <row r="242" spans="1:12" ht="15">
      <c r="A242" s="187">
        <v>15340</v>
      </c>
      <c r="B242" s="187" t="s">
        <v>560</v>
      </c>
      <c r="C242" s="187">
        <v>38</v>
      </c>
      <c r="D242" s="187">
        <v>10</v>
      </c>
      <c r="E242" s="193">
        <v>42206</v>
      </c>
      <c r="F242" s="187"/>
      <c r="G242" s="187">
        <v>6471</v>
      </c>
      <c r="H242" s="187">
        <v>54</v>
      </c>
      <c r="I242" s="187">
        <v>4158</v>
      </c>
      <c r="J242" s="187">
        <v>648</v>
      </c>
      <c r="K242" s="187">
        <v>4806</v>
      </c>
      <c r="L242" s="187">
        <v>1665</v>
      </c>
    </row>
    <row r="243" spans="1:12" ht="15">
      <c r="A243" s="187">
        <v>15341</v>
      </c>
      <c r="B243" s="187" t="s">
        <v>560</v>
      </c>
      <c r="C243" s="187">
        <v>38</v>
      </c>
      <c r="D243" s="187">
        <v>10</v>
      </c>
      <c r="E243" s="193">
        <v>42206</v>
      </c>
      <c r="F243" s="187"/>
      <c r="G243" s="187">
        <v>6471</v>
      </c>
      <c r="H243" s="187">
        <v>54</v>
      </c>
      <c r="I243" s="187">
        <v>4158</v>
      </c>
      <c r="J243" s="187">
        <v>648</v>
      </c>
      <c r="K243" s="187">
        <v>4806</v>
      </c>
      <c r="L243" s="187">
        <v>1665</v>
      </c>
    </row>
    <row r="244" spans="1:12" ht="15">
      <c r="A244" s="187">
        <v>15342</v>
      </c>
      <c r="B244" s="187" t="s">
        <v>560</v>
      </c>
      <c r="C244" s="187">
        <v>38</v>
      </c>
      <c r="D244" s="187">
        <v>10</v>
      </c>
      <c r="E244" s="193">
        <v>42206</v>
      </c>
      <c r="F244" s="187"/>
      <c r="G244" s="187">
        <v>6471</v>
      </c>
      <c r="H244" s="187">
        <v>54</v>
      </c>
      <c r="I244" s="187">
        <v>4158</v>
      </c>
      <c r="J244" s="187">
        <v>648</v>
      </c>
      <c r="K244" s="187">
        <v>4806</v>
      </c>
      <c r="L244" s="187">
        <v>1665</v>
      </c>
    </row>
    <row r="245" spans="1:12" ht="15">
      <c r="A245" s="187">
        <v>15343</v>
      </c>
      <c r="B245" s="187" t="s">
        <v>560</v>
      </c>
      <c r="C245" s="187">
        <v>38</v>
      </c>
      <c r="D245" s="187">
        <v>10</v>
      </c>
      <c r="E245" s="193">
        <v>42206</v>
      </c>
      <c r="F245" s="187"/>
      <c r="G245" s="187">
        <v>6471</v>
      </c>
      <c r="H245" s="187">
        <v>54</v>
      </c>
      <c r="I245" s="187">
        <v>4158</v>
      </c>
      <c r="J245" s="187">
        <v>648</v>
      </c>
      <c r="K245" s="187">
        <v>4806</v>
      </c>
      <c r="L245" s="187">
        <v>1665</v>
      </c>
    </row>
    <row r="246" spans="1:12" ht="15">
      <c r="A246" s="187">
        <v>15344</v>
      </c>
      <c r="B246" s="187" t="s">
        <v>560</v>
      </c>
      <c r="C246" s="187">
        <v>38</v>
      </c>
      <c r="D246" s="187">
        <v>10</v>
      </c>
      <c r="E246" s="193">
        <v>42206</v>
      </c>
      <c r="F246" s="187"/>
      <c r="G246" s="187">
        <v>6471</v>
      </c>
      <c r="H246" s="187">
        <v>54</v>
      </c>
      <c r="I246" s="187">
        <v>4158</v>
      </c>
      <c r="J246" s="187">
        <v>648</v>
      </c>
      <c r="K246" s="187">
        <v>4806</v>
      </c>
      <c r="L246" s="187">
        <v>1665</v>
      </c>
    </row>
    <row r="247" spans="1:12" ht="15">
      <c r="A247" s="187">
        <v>15345</v>
      </c>
      <c r="B247" s="187" t="s">
        <v>560</v>
      </c>
      <c r="C247" s="187">
        <v>38</v>
      </c>
      <c r="D247" s="187">
        <v>10</v>
      </c>
      <c r="E247" s="193">
        <v>42206</v>
      </c>
      <c r="F247" s="187"/>
      <c r="G247" s="187">
        <v>6471</v>
      </c>
      <c r="H247" s="187">
        <v>54</v>
      </c>
      <c r="I247" s="187">
        <v>4158</v>
      </c>
      <c r="J247" s="187">
        <v>648</v>
      </c>
      <c r="K247" s="187">
        <v>4806</v>
      </c>
      <c r="L247" s="187">
        <v>1665</v>
      </c>
    </row>
    <row r="248" spans="1:12" ht="15">
      <c r="A248" s="187">
        <v>15346</v>
      </c>
      <c r="B248" s="187" t="s">
        <v>560</v>
      </c>
      <c r="C248" s="187">
        <v>38</v>
      </c>
      <c r="D248" s="187">
        <v>10</v>
      </c>
      <c r="E248" s="193">
        <v>42206</v>
      </c>
      <c r="F248" s="187"/>
      <c r="G248" s="187">
        <v>6471</v>
      </c>
      <c r="H248" s="187">
        <v>54</v>
      </c>
      <c r="I248" s="187">
        <v>4158</v>
      </c>
      <c r="J248" s="187">
        <v>648</v>
      </c>
      <c r="K248" s="187">
        <v>4806</v>
      </c>
      <c r="L248" s="187">
        <v>1665</v>
      </c>
    </row>
    <row r="249" spans="1:12" ht="15">
      <c r="A249" s="187">
        <v>15347</v>
      </c>
      <c r="B249" s="187" t="s">
        <v>560</v>
      </c>
      <c r="C249" s="187">
        <v>38</v>
      </c>
      <c r="D249" s="187">
        <v>10</v>
      </c>
      <c r="E249" s="193">
        <v>42206</v>
      </c>
      <c r="F249" s="187"/>
      <c r="G249" s="187">
        <v>6471</v>
      </c>
      <c r="H249" s="187">
        <v>54</v>
      </c>
      <c r="I249" s="187">
        <v>4158</v>
      </c>
      <c r="J249" s="187">
        <v>648</v>
      </c>
      <c r="K249" s="187">
        <v>4806</v>
      </c>
      <c r="L249" s="187">
        <v>1665</v>
      </c>
    </row>
    <row r="250" spans="1:12" ht="15">
      <c r="A250" s="187">
        <v>15348</v>
      </c>
      <c r="B250" s="187" t="s">
        <v>560</v>
      </c>
      <c r="C250" s="187">
        <v>38</v>
      </c>
      <c r="D250" s="187">
        <v>10</v>
      </c>
      <c r="E250" s="193">
        <v>42206</v>
      </c>
      <c r="F250" s="187"/>
      <c r="G250" s="187">
        <v>6471</v>
      </c>
      <c r="H250" s="187">
        <v>54</v>
      </c>
      <c r="I250" s="187">
        <v>4158</v>
      </c>
      <c r="J250" s="187">
        <v>648</v>
      </c>
      <c r="K250" s="187">
        <v>4806</v>
      </c>
      <c r="L250" s="187">
        <v>1665</v>
      </c>
    </row>
    <row r="251" spans="1:12" ht="15">
      <c r="A251" s="187">
        <v>15349</v>
      </c>
      <c r="B251" s="187" t="s">
        <v>560</v>
      </c>
      <c r="C251" s="187">
        <v>38</v>
      </c>
      <c r="D251" s="187">
        <v>10</v>
      </c>
      <c r="E251" s="193">
        <v>42206</v>
      </c>
      <c r="F251" s="187"/>
      <c r="G251" s="187">
        <v>6471</v>
      </c>
      <c r="H251" s="187">
        <v>54</v>
      </c>
      <c r="I251" s="187">
        <v>4158</v>
      </c>
      <c r="J251" s="187">
        <v>648</v>
      </c>
      <c r="K251" s="187">
        <v>4806</v>
      </c>
      <c r="L251" s="187">
        <v>1665</v>
      </c>
    </row>
    <row r="252" spans="1:12" ht="15">
      <c r="A252" s="187">
        <v>15350</v>
      </c>
      <c r="B252" s="187" t="s">
        <v>560</v>
      </c>
      <c r="C252" s="187">
        <v>38</v>
      </c>
      <c r="D252" s="187">
        <v>10</v>
      </c>
      <c r="E252" s="193">
        <v>42206</v>
      </c>
      <c r="F252" s="187"/>
      <c r="G252" s="187">
        <v>6471</v>
      </c>
      <c r="H252" s="187">
        <v>54</v>
      </c>
      <c r="I252" s="187">
        <v>4158</v>
      </c>
      <c r="J252" s="187">
        <v>648</v>
      </c>
      <c r="K252" s="187">
        <v>4806</v>
      </c>
      <c r="L252" s="187">
        <v>1665</v>
      </c>
    </row>
    <row r="253" spans="1:12" ht="15">
      <c r="A253" s="187">
        <v>15351</v>
      </c>
      <c r="B253" s="187" t="s">
        <v>560</v>
      </c>
      <c r="C253" s="187">
        <v>38</v>
      </c>
      <c r="D253" s="187">
        <v>10</v>
      </c>
      <c r="E253" s="193">
        <v>42206</v>
      </c>
      <c r="F253" s="187"/>
      <c r="G253" s="187">
        <v>6471</v>
      </c>
      <c r="H253" s="187">
        <v>54</v>
      </c>
      <c r="I253" s="187">
        <v>4158</v>
      </c>
      <c r="J253" s="187">
        <v>648</v>
      </c>
      <c r="K253" s="187">
        <v>4806</v>
      </c>
      <c r="L253" s="187">
        <v>1665</v>
      </c>
    </row>
    <row r="254" spans="1:12" ht="15">
      <c r="A254" s="187">
        <v>15352</v>
      </c>
      <c r="B254" s="187" t="s">
        <v>560</v>
      </c>
      <c r="C254" s="187">
        <v>38</v>
      </c>
      <c r="D254" s="187">
        <v>10</v>
      </c>
      <c r="E254" s="193">
        <v>42206</v>
      </c>
      <c r="F254" s="187"/>
      <c r="G254" s="187">
        <v>6471</v>
      </c>
      <c r="H254" s="187">
        <v>54</v>
      </c>
      <c r="I254" s="187">
        <v>4158</v>
      </c>
      <c r="J254" s="187">
        <v>648</v>
      </c>
      <c r="K254" s="187">
        <v>4806</v>
      </c>
      <c r="L254" s="187">
        <v>1665</v>
      </c>
    </row>
    <row r="255" spans="1:12" ht="15">
      <c r="A255" s="187">
        <v>15353</v>
      </c>
      <c r="B255" s="187" t="s">
        <v>560</v>
      </c>
      <c r="C255" s="187">
        <v>38</v>
      </c>
      <c r="D255" s="187">
        <v>10</v>
      </c>
      <c r="E255" s="193">
        <v>42206</v>
      </c>
      <c r="F255" s="187"/>
      <c r="G255" s="187">
        <v>6469</v>
      </c>
      <c r="H255" s="187">
        <v>54</v>
      </c>
      <c r="I255" s="187">
        <v>4158</v>
      </c>
      <c r="J255" s="187">
        <v>648</v>
      </c>
      <c r="K255" s="187">
        <v>4806</v>
      </c>
      <c r="L255" s="187">
        <v>1663</v>
      </c>
    </row>
    <row r="256" spans="1:12" ht="15">
      <c r="A256" s="187">
        <v>15354</v>
      </c>
      <c r="B256" s="187" t="s">
        <v>560</v>
      </c>
      <c r="C256" s="187">
        <v>38</v>
      </c>
      <c r="D256" s="187">
        <v>10</v>
      </c>
      <c r="E256" s="193">
        <v>42206</v>
      </c>
      <c r="F256" s="187"/>
      <c r="G256" s="187">
        <v>6469</v>
      </c>
      <c r="H256" s="187">
        <v>54</v>
      </c>
      <c r="I256" s="187">
        <v>4158</v>
      </c>
      <c r="J256" s="187">
        <v>648</v>
      </c>
      <c r="K256" s="187">
        <v>4806</v>
      </c>
      <c r="L256" s="187">
        <v>1663</v>
      </c>
    </row>
    <row r="257" spans="1:12" ht="15">
      <c r="A257" s="187">
        <v>15355</v>
      </c>
      <c r="B257" s="187" t="s">
        <v>560</v>
      </c>
      <c r="C257" s="187">
        <v>38</v>
      </c>
      <c r="D257" s="187">
        <v>10</v>
      </c>
      <c r="E257" s="193">
        <v>42206</v>
      </c>
      <c r="F257" s="187"/>
      <c r="G257" s="187">
        <v>6469</v>
      </c>
      <c r="H257" s="187">
        <v>54</v>
      </c>
      <c r="I257" s="187">
        <v>4158</v>
      </c>
      <c r="J257" s="187">
        <v>648</v>
      </c>
      <c r="K257" s="187">
        <v>4806</v>
      </c>
      <c r="L257" s="187">
        <v>1663</v>
      </c>
    </row>
    <row r="258" spans="1:12" ht="15">
      <c r="A258" s="187">
        <v>15356</v>
      </c>
      <c r="B258" s="187" t="s">
        <v>560</v>
      </c>
      <c r="C258" s="187">
        <v>38</v>
      </c>
      <c r="D258" s="187">
        <v>10</v>
      </c>
      <c r="E258" s="193">
        <v>42206</v>
      </c>
      <c r="F258" s="187"/>
      <c r="G258" s="187">
        <v>6469</v>
      </c>
      <c r="H258" s="187">
        <v>54</v>
      </c>
      <c r="I258" s="187">
        <v>4158</v>
      </c>
      <c r="J258" s="187">
        <v>648</v>
      </c>
      <c r="K258" s="187">
        <v>4806</v>
      </c>
      <c r="L258" s="187">
        <v>1663</v>
      </c>
    </row>
    <row r="259" spans="1:12" ht="15">
      <c r="A259" s="187">
        <v>15357</v>
      </c>
      <c r="B259" s="187" t="s">
        <v>560</v>
      </c>
      <c r="C259" s="187">
        <v>38</v>
      </c>
      <c r="D259" s="187">
        <v>10</v>
      </c>
      <c r="E259" s="193">
        <v>42206</v>
      </c>
      <c r="F259" s="187"/>
      <c r="G259" s="187">
        <v>6469</v>
      </c>
      <c r="H259" s="187">
        <v>54</v>
      </c>
      <c r="I259" s="187">
        <v>4158</v>
      </c>
      <c r="J259" s="187">
        <v>648</v>
      </c>
      <c r="K259" s="187">
        <v>4806</v>
      </c>
      <c r="L259" s="187">
        <v>1663</v>
      </c>
    </row>
    <row r="260" spans="1:12" ht="15">
      <c r="A260" s="187">
        <v>15358</v>
      </c>
      <c r="B260" s="187" t="s">
        <v>560</v>
      </c>
      <c r="C260" s="187">
        <v>38</v>
      </c>
      <c r="D260" s="187">
        <v>10</v>
      </c>
      <c r="E260" s="193">
        <v>42206</v>
      </c>
      <c r="F260" s="187"/>
      <c r="G260" s="187">
        <v>6469</v>
      </c>
      <c r="H260" s="187">
        <v>54</v>
      </c>
      <c r="I260" s="187">
        <v>4158</v>
      </c>
      <c r="J260" s="187">
        <v>648</v>
      </c>
      <c r="K260" s="187">
        <v>4806</v>
      </c>
      <c r="L260" s="187">
        <v>1663</v>
      </c>
    </row>
    <row r="261" spans="1:12" ht="15">
      <c r="A261" s="187">
        <v>15359</v>
      </c>
      <c r="B261" s="187" t="s">
        <v>560</v>
      </c>
      <c r="C261" s="187">
        <v>38</v>
      </c>
      <c r="D261" s="187">
        <v>10</v>
      </c>
      <c r="E261" s="193">
        <v>42206</v>
      </c>
      <c r="F261" s="187"/>
      <c r="G261" s="187">
        <v>6469</v>
      </c>
      <c r="H261" s="187">
        <v>54</v>
      </c>
      <c r="I261" s="187">
        <v>4158</v>
      </c>
      <c r="J261" s="187">
        <v>648</v>
      </c>
      <c r="K261" s="187">
        <v>4806</v>
      </c>
      <c r="L261" s="187">
        <v>1663</v>
      </c>
    </row>
    <row r="262" spans="1:12" ht="15">
      <c r="A262" s="187">
        <v>15360</v>
      </c>
      <c r="B262" s="187" t="s">
        <v>561</v>
      </c>
      <c r="C262" s="187">
        <v>38</v>
      </c>
      <c r="D262" s="187">
        <v>10</v>
      </c>
      <c r="E262" s="193">
        <v>42206</v>
      </c>
      <c r="F262" s="187"/>
      <c r="G262" s="187">
        <v>7874</v>
      </c>
      <c r="H262" s="187">
        <v>66</v>
      </c>
      <c r="I262" s="187">
        <v>5082</v>
      </c>
      <c r="J262" s="187">
        <v>792</v>
      </c>
      <c r="K262" s="187">
        <v>5874</v>
      </c>
      <c r="L262" s="187">
        <v>2000</v>
      </c>
    </row>
    <row r="263" spans="1:12" ht="15">
      <c r="A263" s="187">
        <v>15361</v>
      </c>
      <c r="B263" s="187" t="s">
        <v>561</v>
      </c>
      <c r="C263" s="187">
        <v>38</v>
      </c>
      <c r="D263" s="187">
        <v>10</v>
      </c>
      <c r="E263" s="193">
        <v>42206</v>
      </c>
      <c r="F263" s="187"/>
      <c r="G263" s="187">
        <v>7874</v>
      </c>
      <c r="H263" s="187">
        <v>66</v>
      </c>
      <c r="I263" s="187">
        <v>5082</v>
      </c>
      <c r="J263" s="187">
        <v>792</v>
      </c>
      <c r="K263" s="187">
        <v>5874</v>
      </c>
      <c r="L263" s="187">
        <v>2000</v>
      </c>
    </row>
    <row r="264" spans="1:12" ht="15">
      <c r="A264" s="187">
        <v>15362</v>
      </c>
      <c r="B264" s="187" t="s">
        <v>561</v>
      </c>
      <c r="C264" s="187">
        <v>38</v>
      </c>
      <c r="D264" s="187">
        <v>10</v>
      </c>
      <c r="E264" s="193">
        <v>42206</v>
      </c>
      <c r="F264" s="187"/>
      <c r="G264" s="187">
        <v>7874</v>
      </c>
      <c r="H264" s="187">
        <v>66</v>
      </c>
      <c r="I264" s="187">
        <v>5082</v>
      </c>
      <c r="J264" s="187">
        <v>792</v>
      </c>
      <c r="K264" s="187">
        <v>5874</v>
      </c>
      <c r="L264" s="187">
        <v>2000</v>
      </c>
    </row>
    <row r="265" spans="1:12" ht="15">
      <c r="A265" s="187">
        <v>15363</v>
      </c>
      <c r="B265" s="187" t="s">
        <v>561</v>
      </c>
      <c r="C265" s="187">
        <v>38</v>
      </c>
      <c r="D265" s="187">
        <v>10</v>
      </c>
      <c r="E265" s="193">
        <v>42206</v>
      </c>
      <c r="F265" s="187"/>
      <c r="G265" s="187">
        <v>7874</v>
      </c>
      <c r="H265" s="187">
        <v>66</v>
      </c>
      <c r="I265" s="187">
        <v>5082</v>
      </c>
      <c r="J265" s="187">
        <v>792</v>
      </c>
      <c r="K265" s="187">
        <v>5874</v>
      </c>
      <c r="L265" s="187">
        <v>2000</v>
      </c>
    </row>
    <row r="266" spans="1:12" ht="15">
      <c r="A266" s="187">
        <v>15364</v>
      </c>
      <c r="B266" s="187" t="s">
        <v>561</v>
      </c>
      <c r="C266" s="187">
        <v>38</v>
      </c>
      <c r="D266" s="187">
        <v>10</v>
      </c>
      <c r="E266" s="193">
        <v>42206</v>
      </c>
      <c r="F266" s="187"/>
      <c r="G266" s="187">
        <v>7874</v>
      </c>
      <c r="H266" s="187">
        <v>66</v>
      </c>
      <c r="I266" s="187">
        <v>5082</v>
      </c>
      <c r="J266" s="187">
        <v>792</v>
      </c>
      <c r="K266" s="187">
        <v>5874</v>
      </c>
      <c r="L266" s="187">
        <v>2000</v>
      </c>
    </row>
    <row r="267" spans="1:12" ht="15">
      <c r="A267" s="187">
        <v>15365</v>
      </c>
      <c r="B267" s="187" t="s">
        <v>561</v>
      </c>
      <c r="C267" s="187">
        <v>38</v>
      </c>
      <c r="D267" s="187">
        <v>10</v>
      </c>
      <c r="E267" s="193">
        <v>42206</v>
      </c>
      <c r="F267" s="187"/>
      <c r="G267" s="187">
        <v>7874</v>
      </c>
      <c r="H267" s="187">
        <v>66</v>
      </c>
      <c r="I267" s="187">
        <v>5082</v>
      </c>
      <c r="J267" s="187">
        <v>792</v>
      </c>
      <c r="K267" s="187">
        <v>5874</v>
      </c>
      <c r="L267" s="187">
        <v>2000</v>
      </c>
    </row>
    <row r="268" spans="1:12" ht="15">
      <c r="A268" s="187">
        <v>15366</v>
      </c>
      <c r="B268" s="187" t="s">
        <v>561</v>
      </c>
      <c r="C268" s="187">
        <v>38</v>
      </c>
      <c r="D268" s="187">
        <v>10</v>
      </c>
      <c r="E268" s="193">
        <v>42206</v>
      </c>
      <c r="F268" s="187"/>
      <c r="G268" s="187">
        <v>7874</v>
      </c>
      <c r="H268" s="187">
        <v>66</v>
      </c>
      <c r="I268" s="187">
        <v>5082</v>
      </c>
      <c r="J268" s="187">
        <v>792</v>
      </c>
      <c r="K268" s="187">
        <v>5874</v>
      </c>
      <c r="L268" s="187">
        <v>2000</v>
      </c>
    </row>
    <row r="269" spans="1:12" ht="15">
      <c r="A269" s="187">
        <v>15367</v>
      </c>
      <c r="B269" s="187" t="s">
        <v>561</v>
      </c>
      <c r="C269" s="187">
        <v>38</v>
      </c>
      <c r="D269" s="187">
        <v>10</v>
      </c>
      <c r="E269" s="193">
        <v>42206</v>
      </c>
      <c r="F269" s="187"/>
      <c r="G269" s="187">
        <v>7874</v>
      </c>
      <c r="H269" s="187">
        <v>66</v>
      </c>
      <c r="I269" s="187">
        <v>5082</v>
      </c>
      <c r="J269" s="187">
        <v>792</v>
      </c>
      <c r="K269" s="187">
        <v>5874</v>
      </c>
      <c r="L269" s="187">
        <v>2000</v>
      </c>
    </row>
    <row r="270" spans="1:12" ht="15">
      <c r="A270" s="187">
        <v>15368</v>
      </c>
      <c r="B270" s="187" t="s">
        <v>561</v>
      </c>
      <c r="C270" s="187">
        <v>38</v>
      </c>
      <c r="D270" s="187">
        <v>10</v>
      </c>
      <c r="E270" s="193">
        <v>42206</v>
      </c>
      <c r="F270" s="187"/>
      <c r="G270" s="187">
        <v>7874</v>
      </c>
      <c r="H270" s="187">
        <v>66</v>
      </c>
      <c r="I270" s="187">
        <v>5082</v>
      </c>
      <c r="J270" s="187">
        <v>792</v>
      </c>
      <c r="K270" s="187">
        <v>5874</v>
      </c>
      <c r="L270" s="187">
        <v>2000</v>
      </c>
    </row>
    <row r="271" spans="1:12" ht="15">
      <c r="A271" s="187">
        <v>15369</v>
      </c>
      <c r="B271" s="187" t="s">
        <v>561</v>
      </c>
      <c r="C271" s="187">
        <v>38</v>
      </c>
      <c r="D271" s="187">
        <v>10</v>
      </c>
      <c r="E271" s="193">
        <v>42206</v>
      </c>
      <c r="F271" s="187"/>
      <c r="G271" s="187">
        <v>7874</v>
      </c>
      <c r="H271" s="187">
        <v>66</v>
      </c>
      <c r="I271" s="187">
        <v>5082</v>
      </c>
      <c r="J271" s="187">
        <v>792</v>
      </c>
      <c r="K271" s="187">
        <v>5874</v>
      </c>
      <c r="L271" s="187">
        <v>2000</v>
      </c>
    </row>
    <row r="272" spans="1:12" ht="15.75" thickBot="1">
      <c r="A272" s="187">
        <v>15370</v>
      </c>
      <c r="B272" s="187" t="s">
        <v>562</v>
      </c>
      <c r="C272" s="187">
        <v>38</v>
      </c>
      <c r="D272" s="187">
        <v>10</v>
      </c>
      <c r="E272" s="193">
        <v>42206</v>
      </c>
      <c r="F272" s="187"/>
      <c r="G272" s="187">
        <v>19077</v>
      </c>
      <c r="H272" s="187">
        <v>159</v>
      </c>
      <c r="I272" s="187">
        <v>12243</v>
      </c>
      <c r="J272" s="187">
        <v>1908</v>
      </c>
      <c r="K272" s="187">
        <v>14151</v>
      </c>
      <c r="L272" s="187">
        <v>4926</v>
      </c>
    </row>
    <row r="273" spans="1:12" ht="16.5" thickTop="1" thickBot="1">
      <c r="A273" s="192" t="s">
        <v>563</v>
      </c>
      <c r="B273" s="192"/>
      <c r="C273" s="192"/>
      <c r="D273" s="192"/>
      <c r="E273" s="192"/>
      <c r="F273" s="192"/>
      <c r="G273" s="192">
        <v>1243022</v>
      </c>
      <c r="H273" s="192">
        <v>10369</v>
      </c>
      <c r="I273" s="192">
        <v>798413</v>
      </c>
      <c r="J273" s="192">
        <v>124428</v>
      </c>
      <c r="K273" s="192">
        <v>922841</v>
      </c>
      <c r="L273" s="192">
        <v>320181</v>
      </c>
    </row>
    <row r="274" spans="1:12" ht="15.75" thickTop="1">
      <c r="A274" s="187" t="s">
        <v>564</v>
      </c>
      <c r="B274" s="187" t="s">
        <v>565</v>
      </c>
      <c r="C274" s="187">
        <v>40</v>
      </c>
      <c r="D274" s="187">
        <v>0</v>
      </c>
      <c r="E274" s="193">
        <v>43595</v>
      </c>
      <c r="F274" s="187"/>
      <c r="G274" s="187">
        <v>504404</v>
      </c>
      <c r="H274" s="187">
        <v>4204</v>
      </c>
      <c r="I274" s="187">
        <v>130324</v>
      </c>
      <c r="J274" s="187">
        <v>50448</v>
      </c>
      <c r="K274" s="187">
        <v>180772</v>
      </c>
      <c r="L274" s="187">
        <v>323632</v>
      </c>
    </row>
    <row r="275" spans="1:12" ht="15">
      <c r="A275" s="187" t="s">
        <v>566</v>
      </c>
      <c r="B275" s="187" t="s">
        <v>567</v>
      </c>
      <c r="C275" s="187">
        <v>40</v>
      </c>
      <c r="D275" s="187">
        <v>0</v>
      </c>
      <c r="E275" s="193">
        <v>43693</v>
      </c>
      <c r="F275" s="187"/>
      <c r="G275" s="187">
        <v>51080.2</v>
      </c>
      <c r="H275" s="187">
        <v>852</v>
      </c>
      <c r="I275" s="187">
        <v>23640</v>
      </c>
      <c r="J275" s="187">
        <v>10224</v>
      </c>
      <c r="K275" s="187">
        <v>33864</v>
      </c>
      <c r="L275" s="187">
        <v>17216.199999999997</v>
      </c>
    </row>
    <row r="276" spans="1:12" ht="15">
      <c r="A276" s="187" t="s">
        <v>568</v>
      </c>
      <c r="B276" s="187" t="s">
        <v>569</v>
      </c>
      <c r="C276" s="187">
        <v>40</v>
      </c>
      <c r="D276" s="187">
        <v>0</v>
      </c>
      <c r="E276" s="193">
        <v>43705</v>
      </c>
      <c r="F276" s="187"/>
      <c r="G276" s="187">
        <v>195540</v>
      </c>
      <c r="H276" s="187">
        <v>3259</v>
      </c>
      <c r="I276" s="187">
        <v>91252</v>
      </c>
      <c r="J276" s="187">
        <v>39108</v>
      </c>
      <c r="K276" s="187">
        <v>130360</v>
      </c>
      <c r="L276" s="187">
        <v>65180</v>
      </c>
    </row>
    <row r="277" spans="1:12" ht="15">
      <c r="A277" s="187" t="s">
        <v>570</v>
      </c>
      <c r="B277" s="187" t="s">
        <v>571</v>
      </c>
      <c r="C277" s="187">
        <v>40</v>
      </c>
      <c r="D277" s="187">
        <v>16</v>
      </c>
      <c r="E277" s="193">
        <v>37590</v>
      </c>
      <c r="F277" s="193">
        <v>44621</v>
      </c>
      <c r="G277" s="187">
        <v>143600</v>
      </c>
      <c r="H277" s="187">
        <v>1915</v>
      </c>
      <c r="I277" s="187">
        <v>143600</v>
      </c>
      <c r="J277" s="187">
        <v>0</v>
      </c>
      <c r="K277" s="187">
        <v>143600</v>
      </c>
      <c r="L277" s="187">
        <v>0</v>
      </c>
    </row>
    <row r="278" spans="1:12" ht="15">
      <c r="A278" s="187" t="s">
        <v>572</v>
      </c>
      <c r="B278" s="187" t="s">
        <v>573</v>
      </c>
      <c r="C278" s="187">
        <v>40</v>
      </c>
      <c r="D278" s="187">
        <v>7</v>
      </c>
      <c r="E278" s="193">
        <v>37894</v>
      </c>
      <c r="F278" s="187"/>
      <c r="G278" s="187">
        <v>50657</v>
      </c>
      <c r="H278" s="187">
        <v>296</v>
      </c>
      <c r="I278" s="187">
        <v>50657</v>
      </c>
      <c r="J278" s="187">
        <v>0</v>
      </c>
      <c r="K278" s="187">
        <v>50657</v>
      </c>
      <c r="L278" s="187">
        <v>0</v>
      </c>
    </row>
    <row r="279" spans="1:12" ht="15">
      <c r="A279" s="187" t="s">
        <v>574</v>
      </c>
      <c r="B279" s="187" t="s">
        <v>573</v>
      </c>
      <c r="C279" s="187">
        <v>40</v>
      </c>
      <c r="D279" s="187">
        <v>7</v>
      </c>
      <c r="E279" s="193">
        <v>37894</v>
      </c>
      <c r="F279" s="187"/>
      <c r="G279" s="187">
        <v>50657</v>
      </c>
      <c r="H279" s="187">
        <v>296</v>
      </c>
      <c r="I279" s="187">
        <v>50657</v>
      </c>
      <c r="J279" s="187">
        <v>0</v>
      </c>
      <c r="K279" s="187">
        <v>50657</v>
      </c>
      <c r="L279" s="187">
        <v>0</v>
      </c>
    </row>
    <row r="280" spans="1:12" ht="15">
      <c r="A280" s="187" t="s">
        <v>575</v>
      </c>
      <c r="B280" s="187" t="s">
        <v>576</v>
      </c>
      <c r="C280" s="187">
        <v>40</v>
      </c>
      <c r="D280" s="187">
        <v>13</v>
      </c>
      <c r="E280" s="193">
        <v>37894</v>
      </c>
      <c r="F280" s="187"/>
      <c r="G280" s="187">
        <v>37444</v>
      </c>
      <c r="H280" s="187">
        <v>406</v>
      </c>
      <c r="I280" s="187">
        <v>37444</v>
      </c>
      <c r="J280" s="187">
        <v>0</v>
      </c>
      <c r="K280" s="187">
        <v>37444</v>
      </c>
      <c r="L280" s="187">
        <v>0</v>
      </c>
    </row>
    <row r="281" spans="1:12" ht="15">
      <c r="A281" s="187">
        <v>14116</v>
      </c>
      <c r="B281" s="187" t="s">
        <v>577</v>
      </c>
      <c r="C281" s="187">
        <v>40</v>
      </c>
      <c r="D281" s="187">
        <v>0</v>
      </c>
      <c r="E281" s="193">
        <v>43770</v>
      </c>
      <c r="F281" s="187"/>
      <c r="G281" s="187">
        <v>1996000</v>
      </c>
      <c r="H281" s="187">
        <v>33267</v>
      </c>
      <c r="I281" s="187">
        <v>831675</v>
      </c>
      <c r="J281" s="187">
        <v>399204</v>
      </c>
      <c r="K281" s="187">
        <v>1230879</v>
      </c>
      <c r="L281" s="187">
        <v>765121</v>
      </c>
    </row>
    <row r="282" spans="1:12" ht="15">
      <c r="A282" s="187">
        <v>15279</v>
      </c>
      <c r="B282" s="187" t="s">
        <v>578</v>
      </c>
      <c r="C282" s="187">
        <v>40</v>
      </c>
      <c r="D282" s="187">
        <v>20</v>
      </c>
      <c r="E282" s="193">
        <v>41609</v>
      </c>
      <c r="F282" s="187"/>
      <c r="G282" s="187">
        <v>4186</v>
      </c>
      <c r="H282" s="187">
        <v>70</v>
      </c>
      <c r="I282" s="187">
        <v>4186</v>
      </c>
      <c r="J282" s="187">
        <v>0</v>
      </c>
      <c r="K282" s="187">
        <v>4186</v>
      </c>
      <c r="L282" s="187">
        <v>0</v>
      </c>
    </row>
    <row r="283" spans="1:12" ht="15.75" thickBot="1">
      <c r="A283" s="187">
        <v>15280</v>
      </c>
      <c r="B283" s="187" t="s">
        <v>579</v>
      </c>
      <c r="C283" s="187">
        <v>40</v>
      </c>
      <c r="D283" s="187">
        <v>20</v>
      </c>
      <c r="E283" s="193">
        <v>41609</v>
      </c>
      <c r="F283" s="187"/>
      <c r="G283" s="187">
        <v>13500</v>
      </c>
      <c r="H283" s="187">
        <v>225</v>
      </c>
      <c r="I283" s="187">
        <v>13500</v>
      </c>
      <c r="J283" s="187">
        <v>0</v>
      </c>
      <c r="K283" s="187">
        <v>13500</v>
      </c>
      <c r="L283" s="187">
        <v>0</v>
      </c>
    </row>
    <row r="284" spans="1:12" ht="16.5" thickTop="1" thickBot="1">
      <c r="A284" s="192" t="s">
        <v>580</v>
      </c>
      <c r="B284" s="192"/>
      <c r="C284" s="192"/>
      <c r="D284" s="192"/>
      <c r="E284" s="192"/>
      <c r="F284" s="192"/>
      <c r="G284" s="192">
        <v>3047068.2</v>
      </c>
      <c r="H284" s="192">
        <v>44790</v>
      </c>
      <c r="I284" s="192">
        <v>1376935</v>
      </c>
      <c r="J284" s="192">
        <v>498984</v>
      </c>
      <c r="K284" s="192">
        <v>1875919</v>
      </c>
      <c r="L284" s="192">
        <v>1171149.2</v>
      </c>
    </row>
    <row r="285" spans="1:12" ht="16.5" thickTop="1" thickBot="1">
      <c r="A285" s="187">
        <v>16432</v>
      </c>
      <c r="B285" s="187" t="s">
        <v>581</v>
      </c>
      <c r="C285" s="187">
        <v>42</v>
      </c>
      <c r="D285" s="187">
        <v>10</v>
      </c>
      <c r="E285" s="193">
        <v>39629</v>
      </c>
      <c r="F285" s="187"/>
      <c r="G285" s="187">
        <v>1416210</v>
      </c>
      <c r="H285" s="187">
        <v>11802</v>
      </c>
      <c r="I285" s="187">
        <v>1416210</v>
      </c>
      <c r="J285" s="187">
        <v>0</v>
      </c>
      <c r="K285" s="187">
        <v>1416210</v>
      </c>
      <c r="L285" s="187">
        <v>0</v>
      </c>
    </row>
    <row r="286" spans="1:12" ht="16.5" thickTop="1" thickBot="1">
      <c r="A286" s="192" t="s">
        <v>582</v>
      </c>
      <c r="B286" s="192"/>
      <c r="C286" s="192"/>
      <c r="D286" s="192"/>
      <c r="E286" s="192"/>
      <c r="F286" s="192"/>
      <c r="G286" s="192">
        <v>1416210</v>
      </c>
      <c r="H286" s="192">
        <v>11802</v>
      </c>
      <c r="I286" s="192">
        <v>1416210</v>
      </c>
      <c r="J286" s="192">
        <v>0</v>
      </c>
      <c r="K286" s="192">
        <v>1416210</v>
      </c>
      <c r="L286" s="192">
        <v>0</v>
      </c>
    </row>
    <row r="287" spans="1:12" ht="16.5" thickTop="1" thickBot="1">
      <c r="A287" s="187" t="s">
        <v>583</v>
      </c>
      <c r="B287" s="187" t="s">
        <v>584</v>
      </c>
      <c r="C287" s="187">
        <v>43</v>
      </c>
      <c r="D287" s="187">
        <v>2.5</v>
      </c>
      <c r="E287" s="193">
        <v>39112</v>
      </c>
      <c r="F287" s="187"/>
      <c r="G287" s="187">
        <v>870758</v>
      </c>
      <c r="H287" s="187">
        <v>1815</v>
      </c>
      <c r="I287" s="187">
        <v>324885</v>
      </c>
      <c r="J287" s="187">
        <v>21780</v>
      </c>
      <c r="K287" s="187">
        <v>346665</v>
      </c>
      <c r="L287" s="187">
        <v>524093</v>
      </c>
    </row>
    <row r="288" spans="1:12" ht="16.5" thickTop="1" thickBot="1">
      <c r="A288" s="192" t="s">
        <v>585</v>
      </c>
      <c r="B288" s="192"/>
      <c r="C288" s="192"/>
      <c r="D288" s="192"/>
      <c r="E288" s="192"/>
      <c r="F288" s="192"/>
      <c r="G288" s="192">
        <v>870758</v>
      </c>
      <c r="H288" s="192">
        <v>1815</v>
      </c>
      <c r="I288" s="192">
        <v>324885</v>
      </c>
      <c r="J288" s="192">
        <v>21780</v>
      </c>
      <c r="K288" s="192">
        <v>346665</v>
      </c>
      <c r="L288" s="192">
        <v>524093</v>
      </c>
    </row>
    <row r="289" spans="1:12" ht="16.5" thickTop="1" thickBot="1">
      <c r="A289" s="187">
        <v>12101</v>
      </c>
      <c r="B289" s="187" t="s">
        <v>586</v>
      </c>
      <c r="C289" s="187">
        <v>44</v>
      </c>
      <c r="D289" s="187">
        <v>20</v>
      </c>
      <c r="E289" s="193">
        <v>42320</v>
      </c>
      <c r="F289" s="187"/>
      <c r="G289" s="187">
        <v>9285</v>
      </c>
      <c r="H289" s="187">
        <v>155</v>
      </c>
      <c r="I289" s="187">
        <v>9285</v>
      </c>
      <c r="J289" s="187">
        <v>0</v>
      </c>
      <c r="K289" s="187">
        <v>9285</v>
      </c>
      <c r="L289" s="187">
        <v>0</v>
      </c>
    </row>
    <row r="290" spans="1:12" ht="16.5" thickTop="1" thickBot="1">
      <c r="A290" s="192" t="s">
        <v>587</v>
      </c>
      <c r="B290" s="192"/>
      <c r="C290" s="192"/>
      <c r="D290" s="192"/>
      <c r="E290" s="192"/>
      <c r="F290" s="192"/>
      <c r="G290" s="192">
        <v>9285</v>
      </c>
      <c r="H290" s="192">
        <v>155</v>
      </c>
      <c r="I290" s="192">
        <v>9285</v>
      </c>
      <c r="J290" s="192">
        <v>0</v>
      </c>
      <c r="K290" s="192">
        <v>9285</v>
      </c>
      <c r="L290" s="192">
        <v>0</v>
      </c>
    </row>
    <row r="291" spans="1:12" ht="16.5" thickTop="1" thickBot="1">
      <c r="A291" s="187">
        <v>15371</v>
      </c>
      <c r="B291" s="187" t="s">
        <v>588</v>
      </c>
      <c r="C291" s="187">
        <v>45</v>
      </c>
      <c r="D291" s="187">
        <v>20</v>
      </c>
      <c r="E291" s="193">
        <v>42359</v>
      </c>
      <c r="F291" s="187"/>
      <c r="G291" s="187">
        <v>145266</v>
      </c>
      <c r="H291" s="187">
        <v>2422</v>
      </c>
      <c r="I291" s="187">
        <v>145266</v>
      </c>
      <c r="J291" s="187">
        <v>0</v>
      </c>
      <c r="K291" s="187">
        <v>145266</v>
      </c>
      <c r="L291" s="187">
        <v>0</v>
      </c>
    </row>
    <row r="292" spans="1:12" ht="16.5" thickTop="1" thickBot="1">
      <c r="A292" s="192" t="s">
        <v>589</v>
      </c>
      <c r="B292" s="192"/>
      <c r="C292" s="192"/>
      <c r="D292" s="192"/>
      <c r="E292" s="192"/>
      <c r="F292" s="192"/>
      <c r="G292" s="192">
        <v>145266</v>
      </c>
      <c r="H292" s="192">
        <v>2422</v>
      </c>
      <c r="I292" s="192">
        <v>145266</v>
      </c>
      <c r="J292" s="192">
        <v>0</v>
      </c>
      <c r="K292" s="192">
        <v>145266</v>
      </c>
      <c r="L292" s="192">
        <v>0</v>
      </c>
    </row>
    <row r="293" spans="1:12" ht="15.75" thickTop="1">
      <c r="A293" s="187">
        <v>12106</v>
      </c>
      <c r="B293" s="187" t="s">
        <v>590</v>
      </c>
      <c r="C293" s="187">
        <v>47</v>
      </c>
      <c r="D293" s="187">
        <v>5</v>
      </c>
      <c r="E293" s="193">
        <v>43100</v>
      </c>
      <c r="F293" s="187"/>
      <c r="G293" s="187">
        <v>10266</v>
      </c>
      <c r="H293" s="187">
        <v>43</v>
      </c>
      <c r="I293" s="187">
        <v>2061</v>
      </c>
      <c r="J293" s="187">
        <v>516</v>
      </c>
      <c r="K293" s="187">
        <v>2577</v>
      </c>
      <c r="L293" s="187">
        <v>7689</v>
      </c>
    </row>
    <row r="294" spans="1:12" ht="15">
      <c r="A294" s="187">
        <v>12107</v>
      </c>
      <c r="B294" s="187" t="s">
        <v>591</v>
      </c>
      <c r="C294" s="187">
        <v>47</v>
      </c>
      <c r="D294" s="187">
        <v>5</v>
      </c>
      <c r="E294" s="193">
        <v>43100</v>
      </c>
      <c r="F294" s="187"/>
      <c r="G294" s="187">
        <v>10266</v>
      </c>
      <c r="H294" s="187">
        <v>43</v>
      </c>
      <c r="I294" s="187">
        <v>2061</v>
      </c>
      <c r="J294" s="187">
        <v>516</v>
      </c>
      <c r="K294" s="187">
        <v>2577</v>
      </c>
      <c r="L294" s="187">
        <v>7689</v>
      </c>
    </row>
    <row r="295" spans="1:12" ht="15">
      <c r="A295" s="187">
        <v>12108</v>
      </c>
      <c r="B295" s="187" t="s">
        <v>592</v>
      </c>
      <c r="C295" s="187">
        <v>47</v>
      </c>
      <c r="D295" s="187">
        <v>5</v>
      </c>
      <c r="E295" s="193">
        <v>43100</v>
      </c>
      <c r="F295" s="187"/>
      <c r="G295" s="187">
        <v>49523</v>
      </c>
      <c r="H295" s="187">
        <v>207</v>
      </c>
      <c r="I295" s="187">
        <v>9915</v>
      </c>
      <c r="J295" s="187">
        <v>2484</v>
      </c>
      <c r="K295" s="187">
        <v>12399</v>
      </c>
      <c r="L295" s="187">
        <v>37124</v>
      </c>
    </row>
    <row r="296" spans="1:12" ht="15">
      <c r="A296" s="187">
        <v>12109</v>
      </c>
      <c r="B296" s="187" t="s">
        <v>592</v>
      </c>
      <c r="C296" s="187">
        <v>47</v>
      </c>
      <c r="D296" s="187">
        <v>5</v>
      </c>
      <c r="E296" s="193">
        <v>43100</v>
      </c>
      <c r="F296" s="187"/>
      <c r="G296" s="187">
        <v>10266</v>
      </c>
      <c r="H296" s="187">
        <v>43</v>
      </c>
      <c r="I296" s="187">
        <v>2061</v>
      </c>
      <c r="J296" s="187">
        <v>516</v>
      </c>
      <c r="K296" s="187">
        <v>2577</v>
      </c>
      <c r="L296" s="187">
        <v>7689</v>
      </c>
    </row>
    <row r="297" spans="1:12" ht="15">
      <c r="A297" s="187">
        <v>12110</v>
      </c>
      <c r="B297" s="187" t="s">
        <v>593</v>
      </c>
      <c r="C297" s="187">
        <v>47</v>
      </c>
      <c r="D297" s="187">
        <v>5</v>
      </c>
      <c r="E297" s="193">
        <v>43100</v>
      </c>
      <c r="F297" s="187"/>
      <c r="G297" s="187">
        <v>10266</v>
      </c>
      <c r="H297" s="187">
        <v>43</v>
      </c>
      <c r="I297" s="187">
        <v>2061</v>
      </c>
      <c r="J297" s="187">
        <v>516</v>
      </c>
      <c r="K297" s="187">
        <v>2577</v>
      </c>
      <c r="L297" s="187">
        <v>7689</v>
      </c>
    </row>
    <row r="298" spans="1:12" ht="15">
      <c r="A298" s="187">
        <v>12111</v>
      </c>
      <c r="B298" s="187" t="s">
        <v>593</v>
      </c>
      <c r="C298" s="187">
        <v>47</v>
      </c>
      <c r="D298" s="187">
        <v>5</v>
      </c>
      <c r="E298" s="193">
        <v>43100</v>
      </c>
      <c r="F298" s="187"/>
      <c r="G298" s="187">
        <v>10266</v>
      </c>
      <c r="H298" s="187">
        <v>43</v>
      </c>
      <c r="I298" s="187">
        <v>2061</v>
      </c>
      <c r="J298" s="187">
        <v>516</v>
      </c>
      <c r="K298" s="187">
        <v>2577</v>
      </c>
      <c r="L298" s="187">
        <v>7689</v>
      </c>
    </row>
    <row r="299" spans="1:12" ht="15.75" thickBot="1">
      <c r="A299" s="187">
        <v>12112</v>
      </c>
      <c r="B299" s="187" t="s">
        <v>594</v>
      </c>
      <c r="C299" s="187">
        <v>47</v>
      </c>
      <c r="D299" s="187">
        <v>5</v>
      </c>
      <c r="E299" s="193">
        <v>43100</v>
      </c>
      <c r="F299" s="187"/>
      <c r="G299" s="187">
        <v>10266</v>
      </c>
      <c r="H299" s="187">
        <v>43</v>
      </c>
      <c r="I299" s="187">
        <v>2061</v>
      </c>
      <c r="J299" s="187">
        <v>516</v>
      </c>
      <c r="K299" s="187">
        <v>2577</v>
      </c>
      <c r="L299" s="187">
        <v>7689</v>
      </c>
    </row>
    <row r="300" spans="1:12" ht="16.5" thickTop="1" thickBot="1">
      <c r="A300" s="192" t="s">
        <v>595</v>
      </c>
      <c r="B300" s="192"/>
      <c r="C300" s="192"/>
      <c r="D300" s="192"/>
      <c r="E300" s="192"/>
      <c r="F300" s="192"/>
      <c r="G300" s="192">
        <v>111119</v>
      </c>
      <c r="H300" s="192">
        <v>465</v>
      </c>
      <c r="I300" s="192">
        <v>22281</v>
      </c>
      <c r="J300" s="192">
        <v>5580</v>
      </c>
      <c r="K300" s="192">
        <v>27861</v>
      </c>
      <c r="L300" s="192">
        <v>83258</v>
      </c>
    </row>
    <row r="301" spans="1:12" ht="15.75" thickTop="1">
      <c r="A301" s="187">
        <v>15375</v>
      </c>
      <c r="B301" s="187" t="s">
        <v>596</v>
      </c>
      <c r="C301" s="187">
        <v>48</v>
      </c>
      <c r="D301" s="187">
        <v>10</v>
      </c>
      <c r="E301" s="193">
        <v>43100</v>
      </c>
      <c r="F301" s="187"/>
      <c r="G301" s="187">
        <v>32540</v>
      </c>
      <c r="H301" s="187">
        <v>272</v>
      </c>
      <c r="I301" s="187">
        <v>13026</v>
      </c>
      <c r="J301" s="187">
        <v>3264</v>
      </c>
      <c r="K301" s="187">
        <v>16290</v>
      </c>
      <c r="L301" s="187">
        <v>16250</v>
      </c>
    </row>
    <row r="302" spans="1:12" ht="15">
      <c r="A302" s="187">
        <v>15376</v>
      </c>
      <c r="B302" s="187" t="s">
        <v>597</v>
      </c>
      <c r="C302" s="187">
        <v>48</v>
      </c>
      <c r="D302" s="187">
        <v>10</v>
      </c>
      <c r="E302" s="193">
        <v>43100</v>
      </c>
      <c r="F302" s="187"/>
      <c r="G302" s="187">
        <v>33454</v>
      </c>
      <c r="H302" s="187">
        <v>279</v>
      </c>
      <c r="I302" s="187">
        <v>13365</v>
      </c>
      <c r="J302" s="187">
        <v>3348</v>
      </c>
      <c r="K302" s="187">
        <v>16713</v>
      </c>
      <c r="L302" s="187">
        <v>16741</v>
      </c>
    </row>
    <row r="303" spans="1:12" ht="15">
      <c r="A303" s="187">
        <v>15377</v>
      </c>
      <c r="B303" s="187" t="s">
        <v>598</v>
      </c>
      <c r="C303" s="187">
        <v>48</v>
      </c>
      <c r="D303" s="187">
        <v>10</v>
      </c>
      <c r="E303" s="193">
        <v>43100</v>
      </c>
      <c r="F303" s="187"/>
      <c r="G303" s="187">
        <v>31917</v>
      </c>
      <c r="H303" s="187">
        <v>266</v>
      </c>
      <c r="I303" s="187">
        <v>12741</v>
      </c>
      <c r="J303" s="187">
        <v>3192</v>
      </c>
      <c r="K303" s="187">
        <v>15933</v>
      </c>
      <c r="L303" s="187">
        <v>15984</v>
      </c>
    </row>
    <row r="304" spans="1:12" ht="15">
      <c r="A304" s="187">
        <v>15378</v>
      </c>
      <c r="B304" s="187" t="s">
        <v>599</v>
      </c>
      <c r="C304" s="187">
        <v>48</v>
      </c>
      <c r="D304" s="187">
        <v>10</v>
      </c>
      <c r="E304" s="193">
        <v>43100</v>
      </c>
      <c r="F304" s="187"/>
      <c r="G304" s="187">
        <v>31785</v>
      </c>
      <c r="H304" s="187">
        <v>265</v>
      </c>
      <c r="I304" s="187">
        <v>12693</v>
      </c>
      <c r="J304" s="187">
        <v>3180</v>
      </c>
      <c r="K304" s="187">
        <v>15873</v>
      </c>
      <c r="L304" s="187">
        <v>15912</v>
      </c>
    </row>
    <row r="305" spans="1:12" ht="15">
      <c r="A305" s="187">
        <v>15379</v>
      </c>
      <c r="B305" s="187" t="s">
        <v>600</v>
      </c>
      <c r="C305" s="187">
        <v>48</v>
      </c>
      <c r="D305" s="187">
        <v>10</v>
      </c>
      <c r="E305" s="193">
        <v>43100</v>
      </c>
      <c r="F305" s="187"/>
      <c r="G305" s="187">
        <v>31848</v>
      </c>
      <c r="H305" s="187">
        <v>266</v>
      </c>
      <c r="I305" s="187">
        <v>12741</v>
      </c>
      <c r="J305" s="187">
        <v>3192</v>
      </c>
      <c r="K305" s="187">
        <v>15933</v>
      </c>
      <c r="L305" s="187">
        <v>15915</v>
      </c>
    </row>
    <row r="306" spans="1:12" ht="15">
      <c r="A306" s="187">
        <v>15380</v>
      </c>
      <c r="B306" s="187" t="s">
        <v>601</v>
      </c>
      <c r="C306" s="187">
        <v>48</v>
      </c>
      <c r="D306" s="187">
        <v>10</v>
      </c>
      <c r="E306" s="193">
        <v>43100</v>
      </c>
      <c r="F306" s="187"/>
      <c r="G306" s="187">
        <v>30292</v>
      </c>
      <c r="H306" s="187">
        <v>253</v>
      </c>
      <c r="I306" s="187">
        <v>12117</v>
      </c>
      <c r="J306" s="187">
        <v>3036</v>
      </c>
      <c r="K306" s="187">
        <v>15153</v>
      </c>
      <c r="L306" s="187">
        <v>15139</v>
      </c>
    </row>
    <row r="307" spans="1:12" ht="15">
      <c r="A307" s="187">
        <v>15381</v>
      </c>
      <c r="B307" s="187" t="s">
        <v>602</v>
      </c>
      <c r="C307" s="187">
        <v>48</v>
      </c>
      <c r="D307" s="187">
        <v>10</v>
      </c>
      <c r="E307" s="193">
        <v>43100</v>
      </c>
      <c r="F307" s="187"/>
      <c r="G307" s="187">
        <v>31660</v>
      </c>
      <c r="H307" s="187">
        <v>264</v>
      </c>
      <c r="I307" s="187">
        <v>12645</v>
      </c>
      <c r="J307" s="187">
        <v>3168</v>
      </c>
      <c r="K307" s="187">
        <v>15813</v>
      </c>
      <c r="L307" s="187">
        <v>15847</v>
      </c>
    </row>
    <row r="308" spans="1:12" ht="15">
      <c r="A308" s="187">
        <v>15382</v>
      </c>
      <c r="B308" s="187" t="s">
        <v>603</v>
      </c>
      <c r="C308" s="187">
        <v>48</v>
      </c>
      <c r="D308" s="187">
        <v>10</v>
      </c>
      <c r="E308" s="193">
        <v>43100</v>
      </c>
      <c r="F308" s="187"/>
      <c r="G308" s="187">
        <v>33131</v>
      </c>
      <c r="H308" s="187">
        <v>277</v>
      </c>
      <c r="I308" s="187">
        <v>13266</v>
      </c>
      <c r="J308" s="187">
        <v>3324</v>
      </c>
      <c r="K308" s="187">
        <v>16590</v>
      </c>
      <c r="L308" s="187">
        <v>16541</v>
      </c>
    </row>
    <row r="309" spans="1:12" ht="15">
      <c r="A309" s="187">
        <v>15383</v>
      </c>
      <c r="B309" s="187" t="s">
        <v>604</v>
      </c>
      <c r="C309" s="187">
        <v>48</v>
      </c>
      <c r="D309" s="187">
        <v>10</v>
      </c>
      <c r="E309" s="193">
        <v>43100</v>
      </c>
      <c r="F309" s="187"/>
      <c r="G309" s="187">
        <v>33268</v>
      </c>
      <c r="H309" s="187">
        <v>278</v>
      </c>
      <c r="I309" s="187">
        <v>13314</v>
      </c>
      <c r="J309" s="187">
        <v>3336</v>
      </c>
      <c r="K309" s="187">
        <v>16650</v>
      </c>
      <c r="L309" s="187">
        <v>16618</v>
      </c>
    </row>
    <row r="310" spans="1:12" ht="15">
      <c r="A310" s="187">
        <v>15384</v>
      </c>
      <c r="B310" s="187" t="s">
        <v>605</v>
      </c>
      <c r="C310" s="187">
        <v>48</v>
      </c>
      <c r="D310" s="187">
        <v>10</v>
      </c>
      <c r="E310" s="193">
        <v>43100</v>
      </c>
      <c r="F310" s="187"/>
      <c r="G310" s="187">
        <v>32557</v>
      </c>
      <c r="H310" s="187">
        <v>272</v>
      </c>
      <c r="I310" s="187">
        <v>13026</v>
      </c>
      <c r="J310" s="187">
        <v>3264</v>
      </c>
      <c r="K310" s="187">
        <v>16290</v>
      </c>
      <c r="L310" s="187">
        <v>16267</v>
      </c>
    </row>
    <row r="311" spans="1:12" ht="15">
      <c r="A311" s="187">
        <v>15385</v>
      </c>
      <c r="B311" s="187" t="s">
        <v>606</v>
      </c>
      <c r="C311" s="187">
        <v>48</v>
      </c>
      <c r="D311" s="187">
        <v>10</v>
      </c>
      <c r="E311" s="193">
        <v>43100</v>
      </c>
      <c r="F311" s="187"/>
      <c r="G311" s="187">
        <v>32557</v>
      </c>
      <c r="H311" s="187">
        <v>272</v>
      </c>
      <c r="I311" s="187">
        <v>13026</v>
      </c>
      <c r="J311" s="187">
        <v>3264</v>
      </c>
      <c r="K311" s="187">
        <v>16290</v>
      </c>
      <c r="L311" s="187">
        <v>16267</v>
      </c>
    </row>
    <row r="312" spans="1:12" ht="15">
      <c r="A312" s="187">
        <v>15386</v>
      </c>
      <c r="B312" s="187" t="s">
        <v>607</v>
      </c>
      <c r="C312" s="187">
        <v>48</v>
      </c>
      <c r="D312" s="187">
        <v>10</v>
      </c>
      <c r="E312" s="193">
        <v>43100</v>
      </c>
      <c r="F312" s="187"/>
      <c r="G312" s="187">
        <v>33282</v>
      </c>
      <c r="H312" s="187">
        <v>278</v>
      </c>
      <c r="I312" s="187">
        <v>13314</v>
      </c>
      <c r="J312" s="187">
        <v>3336</v>
      </c>
      <c r="K312" s="187">
        <v>16650</v>
      </c>
      <c r="L312" s="187">
        <v>16632</v>
      </c>
    </row>
    <row r="313" spans="1:12" ht="15">
      <c r="A313" s="187">
        <v>15387</v>
      </c>
      <c r="B313" s="187" t="s">
        <v>608</v>
      </c>
      <c r="C313" s="187">
        <v>48</v>
      </c>
      <c r="D313" s="187">
        <v>10</v>
      </c>
      <c r="E313" s="193">
        <v>43100</v>
      </c>
      <c r="F313" s="187"/>
      <c r="G313" s="187">
        <v>31922</v>
      </c>
      <c r="H313" s="187">
        <v>267</v>
      </c>
      <c r="I313" s="187">
        <v>12786</v>
      </c>
      <c r="J313" s="187">
        <v>3204</v>
      </c>
      <c r="K313" s="187">
        <v>15990</v>
      </c>
      <c r="L313" s="187">
        <v>15932</v>
      </c>
    </row>
    <row r="314" spans="1:12" ht="15">
      <c r="A314" s="187">
        <v>15388</v>
      </c>
      <c r="B314" s="187" t="s">
        <v>609</v>
      </c>
      <c r="C314" s="187">
        <v>48</v>
      </c>
      <c r="D314" s="187">
        <v>10</v>
      </c>
      <c r="E314" s="193">
        <v>43100</v>
      </c>
      <c r="F314" s="187"/>
      <c r="G314" s="187">
        <v>35027</v>
      </c>
      <c r="H314" s="187">
        <v>292</v>
      </c>
      <c r="I314" s="187">
        <v>13986</v>
      </c>
      <c r="J314" s="187">
        <v>3504</v>
      </c>
      <c r="K314" s="187">
        <v>17490</v>
      </c>
      <c r="L314" s="187">
        <v>17537</v>
      </c>
    </row>
    <row r="315" spans="1:12" ht="15">
      <c r="A315" s="187">
        <v>15389</v>
      </c>
      <c r="B315" s="187" t="s">
        <v>610</v>
      </c>
      <c r="C315" s="187">
        <v>48</v>
      </c>
      <c r="D315" s="187">
        <v>10</v>
      </c>
      <c r="E315" s="193">
        <v>43100</v>
      </c>
      <c r="F315" s="187"/>
      <c r="G315" s="187">
        <v>32557</v>
      </c>
      <c r="H315" s="187">
        <v>272</v>
      </c>
      <c r="I315" s="187">
        <v>13026</v>
      </c>
      <c r="J315" s="187">
        <v>3264</v>
      </c>
      <c r="K315" s="187">
        <v>16290</v>
      </c>
      <c r="L315" s="187">
        <v>16267</v>
      </c>
    </row>
    <row r="316" spans="1:12" ht="15">
      <c r="A316" s="187">
        <v>15390</v>
      </c>
      <c r="B316" s="187" t="s">
        <v>611</v>
      </c>
      <c r="C316" s="187">
        <v>48</v>
      </c>
      <c r="D316" s="187">
        <v>10</v>
      </c>
      <c r="E316" s="193">
        <v>43100</v>
      </c>
      <c r="F316" s="187"/>
      <c r="G316" s="187">
        <v>35611</v>
      </c>
      <c r="H316" s="187">
        <v>297</v>
      </c>
      <c r="I316" s="187">
        <v>14226</v>
      </c>
      <c r="J316" s="187">
        <v>3564</v>
      </c>
      <c r="K316" s="187">
        <v>17790</v>
      </c>
      <c r="L316" s="187">
        <v>17821</v>
      </c>
    </row>
    <row r="317" spans="1:12" ht="15">
      <c r="A317" s="187">
        <v>15391</v>
      </c>
      <c r="B317" s="187" t="s">
        <v>612</v>
      </c>
      <c r="C317" s="187">
        <v>48</v>
      </c>
      <c r="D317" s="187">
        <v>10</v>
      </c>
      <c r="E317" s="193">
        <v>43100</v>
      </c>
      <c r="F317" s="187"/>
      <c r="G317" s="187">
        <v>34224</v>
      </c>
      <c r="H317" s="187">
        <v>286</v>
      </c>
      <c r="I317" s="187">
        <v>13698</v>
      </c>
      <c r="J317" s="187">
        <v>3432</v>
      </c>
      <c r="K317" s="187">
        <v>17130</v>
      </c>
      <c r="L317" s="187">
        <v>17094</v>
      </c>
    </row>
    <row r="318" spans="1:12" ht="15">
      <c r="A318" s="187">
        <v>15392</v>
      </c>
      <c r="B318" s="187" t="s">
        <v>613</v>
      </c>
      <c r="C318" s="187">
        <v>48</v>
      </c>
      <c r="D318" s="187">
        <v>10</v>
      </c>
      <c r="E318" s="193">
        <v>43100</v>
      </c>
      <c r="F318" s="187"/>
      <c r="G318" s="187">
        <v>34531</v>
      </c>
      <c r="H318" s="187">
        <v>288</v>
      </c>
      <c r="I318" s="187">
        <v>13794</v>
      </c>
      <c r="J318" s="187">
        <v>3456</v>
      </c>
      <c r="K318" s="187">
        <v>17250</v>
      </c>
      <c r="L318" s="187">
        <v>17281</v>
      </c>
    </row>
    <row r="319" spans="1:12" ht="15">
      <c r="A319" s="187">
        <v>15393</v>
      </c>
      <c r="B319" s="187" t="s">
        <v>614</v>
      </c>
      <c r="C319" s="187">
        <v>48</v>
      </c>
      <c r="D319" s="187">
        <v>10</v>
      </c>
      <c r="E319" s="193">
        <v>43100</v>
      </c>
      <c r="F319" s="187"/>
      <c r="G319" s="187">
        <v>34797</v>
      </c>
      <c r="H319" s="187">
        <v>290</v>
      </c>
      <c r="I319" s="187">
        <v>13893</v>
      </c>
      <c r="J319" s="187">
        <v>3480</v>
      </c>
      <c r="K319" s="187">
        <v>17373</v>
      </c>
      <c r="L319" s="187">
        <v>17424</v>
      </c>
    </row>
    <row r="320" spans="1:12" ht="15">
      <c r="A320" s="187">
        <v>15394</v>
      </c>
      <c r="B320" s="187" t="s">
        <v>615</v>
      </c>
      <c r="C320" s="187">
        <v>48</v>
      </c>
      <c r="D320" s="187">
        <v>10</v>
      </c>
      <c r="E320" s="193">
        <v>43100</v>
      </c>
      <c r="F320" s="187"/>
      <c r="G320" s="187">
        <v>29649</v>
      </c>
      <c r="H320" s="187">
        <v>248</v>
      </c>
      <c r="I320" s="187">
        <v>11877</v>
      </c>
      <c r="J320" s="187">
        <v>2976</v>
      </c>
      <c r="K320" s="187">
        <v>14853</v>
      </c>
      <c r="L320" s="187">
        <v>14796</v>
      </c>
    </row>
    <row r="321" spans="1:12" ht="15">
      <c r="A321" s="187">
        <v>15395</v>
      </c>
      <c r="B321" s="187" t="s">
        <v>616</v>
      </c>
      <c r="C321" s="187">
        <v>48</v>
      </c>
      <c r="D321" s="187">
        <v>20</v>
      </c>
      <c r="E321" s="193">
        <v>43100</v>
      </c>
      <c r="F321" s="187"/>
      <c r="G321" s="187">
        <v>25316</v>
      </c>
      <c r="H321" s="187">
        <v>422</v>
      </c>
      <c r="I321" s="187">
        <v>20214</v>
      </c>
      <c r="J321" s="187">
        <v>5064</v>
      </c>
      <c r="K321" s="187">
        <v>25278</v>
      </c>
      <c r="L321" s="187">
        <v>38</v>
      </c>
    </row>
    <row r="322" spans="1:12" ht="15">
      <c r="A322" s="187">
        <v>15396</v>
      </c>
      <c r="B322" s="187" t="s">
        <v>617</v>
      </c>
      <c r="C322" s="187">
        <v>48</v>
      </c>
      <c r="D322" s="187">
        <v>0</v>
      </c>
      <c r="E322" s="193">
        <v>43556</v>
      </c>
      <c r="F322" s="187"/>
      <c r="G322" s="187">
        <v>116668</v>
      </c>
      <c r="H322" s="187">
        <v>973</v>
      </c>
      <c r="I322" s="187">
        <v>31136</v>
      </c>
      <c r="J322" s="187">
        <v>11676</v>
      </c>
      <c r="K322" s="187">
        <v>42812</v>
      </c>
      <c r="L322" s="187">
        <v>73856</v>
      </c>
    </row>
    <row r="323" spans="1:12" ht="15">
      <c r="A323" s="187">
        <v>15415</v>
      </c>
      <c r="B323" s="187" t="s">
        <v>618</v>
      </c>
      <c r="C323" s="187">
        <v>48</v>
      </c>
      <c r="D323" s="187">
        <v>0</v>
      </c>
      <c r="E323" s="193">
        <v>43819</v>
      </c>
      <c r="F323" s="187"/>
      <c r="G323" s="187">
        <v>123230.84</v>
      </c>
      <c r="H323" s="187">
        <v>1027</v>
      </c>
      <c r="I323" s="187">
        <v>24648</v>
      </c>
      <c r="J323" s="187">
        <v>12324</v>
      </c>
      <c r="K323" s="187">
        <v>36972</v>
      </c>
      <c r="L323" s="187">
        <v>86258.84</v>
      </c>
    </row>
    <row r="324" spans="1:12" ht="15">
      <c r="A324" s="187">
        <v>15416</v>
      </c>
      <c r="B324" s="187" t="s">
        <v>619</v>
      </c>
      <c r="C324" s="187">
        <v>48</v>
      </c>
      <c r="D324" s="187">
        <v>0</v>
      </c>
      <c r="E324" s="193">
        <v>44166</v>
      </c>
      <c r="F324" s="187"/>
      <c r="G324" s="187">
        <v>162075</v>
      </c>
      <c r="H324" s="187">
        <v>1351</v>
      </c>
      <c r="I324" s="187">
        <v>16212</v>
      </c>
      <c r="J324" s="187">
        <v>16212</v>
      </c>
      <c r="K324" s="187">
        <v>32424</v>
      </c>
      <c r="L324" s="187">
        <v>129651</v>
      </c>
    </row>
    <row r="325" spans="1:12" ht="15">
      <c r="A325" s="187">
        <v>15417</v>
      </c>
      <c r="B325" s="187" t="s">
        <v>620</v>
      </c>
      <c r="C325" s="187">
        <v>48</v>
      </c>
      <c r="D325" s="187">
        <v>0</v>
      </c>
      <c r="E325" s="193">
        <v>44228</v>
      </c>
      <c r="F325" s="187"/>
      <c r="G325" s="187">
        <v>159109</v>
      </c>
      <c r="H325" s="187">
        <v>1326</v>
      </c>
      <c r="I325" s="187">
        <v>13260</v>
      </c>
      <c r="J325" s="187">
        <v>15912</v>
      </c>
      <c r="K325" s="187">
        <v>29172</v>
      </c>
      <c r="L325" s="187">
        <v>129937</v>
      </c>
    </row>
    <row r="326" spans="1:12" ht="15.75" thickBot="1">
      <c r="A326" s="187">
        <v>15418</v>
      </c>
      <c r="B326" s="187" t="s">
        <v>621</v>
      </c>
      <c r="C326" s="187">
        <v>48</v>
      </c>
      <c r="D326" s="187">
        <v>0</v>
      </c>
      <c r="E326" s="193">
        <v>44228</v>
      </c>
      <c r="F326" s="187"/>
      <c r="G326" s="187">
        <v>119066</v>
      </c>
      <c r="H326" s="187">
        <v>993</v>
      </c>
      <c r="I326" s="187">
        <v>9930</v>
      </c>
      <c r="J326" s="187">
        <v>11916</v>
      </c>
      <c r="K326" s="187">
        <v>21846</v>
      </c>
      <c r="L326" s="187">
        <v>97220</v>
      </c>
    </row>
    <row r="327" spans="1:12" ht="16.5" thickTop="1" thickBot="1">
      <c r="A327" s="192" t="s">
        <v>622</v>
      </c>
      <c r="B327" s="192"/>
      <c r="C327" s="192"/>
      <c r="D327" s="192"/>
      <c r="E327" s="192"/>
      <c r="F327" s="192"/>
      <c r="G327" s="192">
        <v>1362073.8399999999</v>
      </c>
      <c r="H327" s="192">
        <v>11574</v>
      </c>
      <c r="I327" s="192">
        <v>377960</v>
      </c>
      <c r="J327" s="192">
        <v>138888</v>
      </c>
      <c r="K327" s="192">
        <v>516848</v>
      </c>
      <c r="L327" s="192">
        <v>845225.84</v>
      </c>
    </row>
    <row r="328" spans="1:12" ht="15.75" thickTop="1">
      <c r="A328" s="187">
        <v>16488</v>
      </c>
      <c r="B328" s="187" t="s">
        <v>623</v>
      </c>
      <c r="C328" s="187">
        <v>49</v>
      </c>
      <c r="D328" s="187">
        <v>10</v>
      </c>
      <c r="E328" s="193">
        <v>43455</v>
      </c>
      <c r="F328" s="187"/>
      <c r="G328" s="187">
        <v>2352472</v>
      </c>
      <c r="H328" s="187">
        <v>19604</v>
      </c>
      <c r="I328" s="187">
        <v>701842</v>
      </c>
      <c r="J328" s="187">
        <v>235248</v>
      </c>
      <c r="K328" s="187">
        <v>937090</v>
      </c>
      <c r="L328" s="187">
        <v>1415382</v>
      </c>
    </row>
    <row r="329" spans="1:12" ht="15">
      <c r="A329" s="187">
        <v>16489</v>
      </c>
      <c r="B329" s="187" t="s">
        <v>624</v>
      </c>
      <c r="C329" s="187">
        <v>49</v>
      </c>
      <c r="D329" s="187">
        <v>10</v>
      </c>
      <c r="E329" s="193">
        <v>43465</v>
      </c>
      <c r="F329" s="187"/>
      <c r="G329" s="187">
        <v>2359757</v>
      </c>
      <c r="H329" s="187">
        <v>19665</v>
      </c>
      <c r="I329" s="187">
        <v>703306</v>
      </c>
      <c r="J329" s="187">
        <v>235980</v>
      </c>
      <c r="K329" s="187">
        <v>939286</v>
      </c>
      <c r="L329" s="187">
        <v>1420471</v>
      </c>
    </row>
    <row r="330" spans="1:12" ht="15">
      <c r="A330" s="187">
        <v>16490</v>
      </c>
      <c r="B330" s="187" t="s">
        <v>625</v>
      </c>
      <c r="C330" s="187">
        <v>49</v>
      </c>
      <c r="D330" s="187">
        <v>10</v>
      </c>
      <c r="E330" s="193">
        <v>43479</v>
      </c>
      <c r="F330" s="187"/>
      <c r="G330" s="187">
        <v>2369957</v>
      </c>
      <c r="H330" s="187">
        <v>19750</v>
      </c>
      <c r="I330" s="187">
        <v>686123</v>
      </c>
      <c r="J330" s="187">
        <v>237000</v>
      </c>
      <c r="K330" s="187">
        <v>923123</v>
      </c>
      <c r="L330" s="187">
        <v>1446834</v>
      </c>
    </row>
    <row r="331" spans="1:12" ht="15">
      <c r="A331" s="187">
        <v>16491</v>
      </c>
      <c r="B331" s="187" t="s">
        <v>626</v>
      </c>
      <c r="C331" s="187">
        <v>49</v>
      </c>
      <c r="D331" s="187">
        <v>10</v>
      </c>
      <c r="E331" s="193">
        <v>43476</v>
      </c>
      <c r="F331" s="187"/>
      <c r="G331" s="187">
        <v>2367771</v>
      </c>
      <c r="H331" s="187">
        <v>19732</v>
      </c>
      <c r="I331" s="187">
        <v>685691</v>
      </c>
      <c r="J331" s="187">
        <v>236784</v>
      </c>
      <c r="K331" s="187">
        <v>922475</v>
      </c>
      <c r="L331" s="187">
        <v>1445296</v>
      </c>
    </row>
    <row r="332" spans="1:12" ht="15">
      <c r="A332" s="187">
        <v>16492</v>
      </c>
      <c r="B332" s="187" t="s">
        <v>627</v>
      </c>
      <c r="C332" s="187">
        <v>49</v>
      </c>
      <c r="D332" s="187">
        <v>10</v>
      </c>
      <c r="E332" s="193">
        <v>43474</v>
      </c>
      <c r="F332" s="187"/>
      <c r="G332" s="187">
        <v>2366314</v>
      </c>
      <c r="H332" s="187">
        <v>19720</v>
      </c>
      <c r="I332" s="187">
        <v>685403</v>
      </c>
      <c r="J332" s="187">
        <v>236640</v>
      </c>
      <c r="K332" s="187">
        <v>922043</v>
      </c>
      <c r="L332" s="187">
        <v>1444271</v>
      </c>
    </row>
    <row r="333" spans="1:12" ht="15">
      <c r="A333" s="187">
        <v>16493</v>
      </c>
      <c r="B333" s="187" t="s">
        <v>628</v>
      </c>
      <c r="C333" s="187">
        <v>49</v>
      </c>
      <c r="D333" s="187">
        <v>10</v>
      </c>
      <c r="E333" s="193">
        <v>43479</v>
      </c>
      <c r="F333" s="187"/>
      <c r="G333" s="187">
        <v>2369957</v>
      </c>
      <c r="H333" s="187">
        <v>19750</v>
      </c>
      <c r="I333" s="187">
        <v>686123</v>
      </c>
      <c r="J333" s="187">
        <v>237000</v>
      </c>
      <c r="K333" s="187">
        <v>923123</v>
      </c>
      <c r="L333" s="187">
        <v>1446834</v>
      </c>
    </row>
    <row r="334" spans="1:12" ht="15">
      <c r="A334" s="187">
        <v>16494</v>
      </c>
      <c r="B334" s="187" t="s">
        <v>629</v>
      </c>
      <c r="C334" s="187">
        <v>49</v>
      </c>
      <c r="D334" s="187">
        <v>10</v>
      </c>
      <c r="E334" s="193">
        <v>43479</v>
      </c>
      <c r="F334" s="187"/>
      <c r="G334" s="187">
        <v>2369958</v>
      </c>
      <c r="H334" s="187">
        <v>19750</v>
      </c>
      <c r="I334" s="187">
        <v>686123</v>
      </c>
      <c r="J334" s="187">
        <v>237000</v>
      </c>
      <c r="K334" s="187">
        <v>923123</v>
      </c>
      <c r="L334" s="187">
        <v>1446835</v>
      </c>
    </row>
    <row r="335" spans="1:12" ht="15">
      <c r="A335" s="187">
        <v>16495</v>
      </c>
      <c r="B335" s="187" t="s">
        <v>630</v>
      </c>
      <c r="C335" s="187">
        <v>49</v>
      </c>
      <c r="D335" s="187">
        <v>10</v>
      </c>
      <c r="E335" s="193">
        <v>43457</v>
      </c>
      <c r="F335" s="187"/>
      <c r="G335" s="187">
        <v>2353930</v>
      </c>
      <c r="H335" s="187">
        <v>19617</v>
      </c>
      <c r="I335" s="187">
        <v>702154</v>
      </c>
      <c r="J335" s="187">
        <v>235404</v>
      </c>
      <c r="K335" s="187">
        <v>937558</v>
      </c>
      <c r="L335" s="187">
        <v>1416372</v>
      </c>
    </row>
    <row r="336" spans="1:12" ht="15">
      <c r="A336" s="187">
        <v>16496</v>
      </c>
      <c r="B336" s="187" t="s">
        <v>631</v>
      </c>
      <c r="C336" s="187">
        <v>49</v>
      </c>
      <c r="D336" s="187">
        <v>10</v>
      </c>
      <c r="E336" s="193">
        <v>43457</v>
      </c>
      <c r="F336" s="187"/>
      <c r="G336" s="187">
        <v>2353930</v>
      </c>
      <c r="H336" s="187">
        <v>19617</v>
      </c>
      <c r="I336" s="187">
        <v>702154</v>
      </c>
      <c r="J336" s="187">
        <v>235404</v>
      </c>
      <c r="K336" s="187">
        <v>937558</v>
      </c>
      <c r="L336" s="187">
        <v>1416372</v>
      </c>
    </row>
    <row r="337" spans="1:12" ht="15.75" thickBot="1">
      <c r="A337" s="187">
        <v>16497</v>
      </c>
      <c r="B337" s="187" t="s">
        <v>632</v>
      </c>
      <c r="C337" s="187">
        <v>49</v>
      </c>
      <c r="D337" s="187">
        <v>10</v>
      </c>
      <c r="E337" s="193">
        <v>43474</v>
      </c>
      <c r="F337" s="187"/>
      <c r="G337" s="187">
        <v>2361674</v>
      </c>
      <c r="H337" s="187">
        <v>19681</v>
      </c>
      <c r="I337" s="187">
        <v>684049</v>
      </c>
      <c r="J337" s="187">
        <v>236172</v>
      </c>
      <c r="K337" s="187">
        <v>920221</v>
      </c>
      <c r="L337" s="187">
        <v>1441453</v>
      </c>
    </row>
    <row r="338" spans="1:12" ht="16.5" thickTop="1" thickBot="1">
      <c r="A338" s="192" t="s">
        <v>633</v>
      </c>
      <c r="B338" s="192"/>
      <c r="C338" s="192"/>
      <c r="D338" s="192"/>
      <c r="E338" s="192"/>
      <c r="F338" s="192"/>
      <c r="G338" s="192">
        <v>23625720</v>
      </c>
      <c r="H338" s="192">
        <v>196886</v>
      </c>
      <c r="I338" s="192">
        <v>6922968</v>
      </c>
      <c r="J338" s="192">
        <v>2362632</v>
      </c>
      <c r="K338" s="192">
        <v>9285600</v>
      </c>
      <c r="L338" s="192">
        <v>14340120</v>
      </c>
    </row>
    <row r="339" spans="1:12" ht="15.75" thickTop="1">
      <c r="A339" s="187">
        <v>15397</v>
      </c>
      <c r="B339" s="187" t="s">
        <v>634</v>
      </c>
      <c r="C339" s="187">
        <v>53</v>
      </c>
      <c r="D339" s="187">
        <v>0</v>
      </c>
      <c r="E339" s="193">
        <v>43768</v>
      </c>
      <c r="F339" s="187"/>
      <c r="G339" s="187">
        <v>14546.07</v>
      </c>
      <c r="H339" s="187">
        <v>243</v>
      </c>
      <c r="I339" s="187">
        <v>14454</v>
      </c>
      <c r="J339" s="187">
        <v>92.07</v>
      </c>
      <c r="K339" s="187">
        <v>14546.07</v>
      </c>
      <c r="L339" s="187">
        <v>0</v>
      </c>
    </row>
    <row r="340" spans="1:12" ht="15">
      <c r="A340" s="187">
        <v>15398</v>
      </c>
      <c r="B340" s="187" t="s">
        <v>635</v>
      </c>
      <c r="C340" s="187">
        <v>53</v>
      </c>
      <c r="D340" s="187">
        <v>0</v>
      </c>
      <c r="E340" s="193">
        <v>43768</v>
      </c>
      <c r="F340" s="187"/>
      <c r="G340" s="187">
        <v>5925.95</v>
      </c>
      <c r="H340" s="187">
        <v>99</v>
      </c>
      <c r="I340" s="187">
        <v>4182</v>
      </c>
      <c r="J340" s="187">
        <v>1188</v>
      </c>
      <c r="K340" s="187">
        <v>5370</v>
      </c>
      <c r="L340" s="187">
        <v>555.94999999999993</v>
      </c>
    </row>
    <row r="341" spans="1:12" ht="15">
      <c r="A341" s="187">
        <v>15399</v>
      </c>
      <c r="B341" s="187" t="s">
        <v>635</v>
      </c>
      <c r="C341" s="187">
        <v>53</v>
      </c>
      <c r="D341" s="187">
        <v>0</v>
      </c>
      <c r="E341" s="193">
        <v>43768</v>
      </c>
      <c r="F341" s="187"/>
      <c r="G341" s="187">
        <v>5925.95</v>
      </c>
      <c r="H341" s="187">
        <v>99</v>
      </c>
      <c r="I341" s="187">
        <v>4182</v>
      </c>
      <c r="J341" s="187">
        <v>1188</v>
      </c>
      <c r="K341" s="187">
        <v>5370</v>
      </c>
      <c r="L341" s="187">
        <v>555.94999999999993</v>
      </c>
    </row>
    <row r="342" spans="1:12" ht="15">
      <c r="A342" s="187">
        <v>15400</v>
      </c>
      <c r="B342" s="187" t="s">
        <v>635</v>
      </c>
      <c r="C342" s="187">
        <v>53</v>
      </c>
      <c r="D342" s="187">
        <v>0</v>
      </c>
      <c r="E342" s="193">
        <v>43768</v>
      </c>
      <c r="F342" s="187"/>
      <c r="G342" s="187">
        <v>5925.95</v>
      </c>
      <c r="H342" s="187">
        <v>99</v>
      </c>
      <c r="I342" s="187">
        <v>4182</v>
      </c>
      <c r="J342" s="187">
        <v>1188</v>
      </c>
      <c r="K342" s="187">
        <v>5370</v>
      </c>
      <c r="L342" s="187">
        <v>555.94999999999993</v>
      </c>
    </row>
    <row r="343" spans="1:12" ht="15">
      <c r="A343" s="187">
        <v>15401</v>
      </c>
      <c r="B343" s="187" t="s">
        <v>635</v>
      </c>
      <c r="C343" s="187">
        <v>53</v>
      </c>
      <c r="D343" s="187">
        <v>0</v>
      </c>
      <c r="E343" s="193">
        <v>43768</v>
      </c>
      <c r="F343" s="187"/>
      <c r="G343" s="187">
        <v>5925.95</v>
      </c>
      <c r="H343" s="187">
        <v>99</v>
      </c>
      <c r="I343" s="187">
        <v>4182</v>
      </c>
      <c r="J343" s="187">
        <v>1188</v>
      </c>
      <c r="K343" s="187">
        <v>5370</v>
      </c>
      <c r="L343" s="187">
        <v>555.94999999999993</v>
      </c>
    </row>
    <row r="344" spans="1:12" ht="15">
      <c r="A344" s="187">
        <v>15402</v>
      </c>
      <c r="B344" s="187" t="s">
        <v>635</v>
      </c>
      <c r="C344" s="187">
        <v>53</v>
      </c>
      <c r="D344" s="187">
        <v>0</v>
      </c>
      <c r="E344" s="193">
        <v>43768</v>
      </c>
      <c r="F344" s="187"/>
      <c r="G344" s="187">
        <v>5925.95</v>
      </c>
      <c r="H344" s="187">
        <v>99</v>
      </c>
      <c r="I344" s="187">
        <v>4182</v>
      </c>
      <c r="J344" s="187">
        <v>1188</v>
      </c>
      <c r="K344" s="187">
        <v>5370</v>
      </c>
      <c r="L344" s="187">
        <v>555.94999999999993</v>
      </c>
    </row>
    <row r="345" spans="1:12" ht="15">
      <c r="A345" s="187">
        <v>15403</v>
      </c>
      <c r="B345" s="187" t="s">
        <v>635</v>
      </c>
      <c r="C345" s="187">
        <v>53</v>
      </c>
      <c r="D345" s="187">
        <v>0</v>
      </c>
      <c r="E345" s="193">
        <v>43768</v>
      </c>
      <c r="F345" s="187"/>
      <c r="G345" s="187">
        <v>5925.95</v>
      </c>
      <c r="H345" s="187">
        <v>99</v>
      </c>
      <c r="I345" s="187">
        <v>4182</v>
      </c>
      <c r="J345" s="187">
        <v>1188</v>
      </c>
      <c r="K345" s="187">
        <v>5370</v>
      </c>
      <c r="L345" s="187">
        <v>555.94999999999993</v>
      </c>
    </row>
    <row r="346" spans="1:12" ht="15">
      <c r="A346" s="187">
        <v>15404</v>
      </c>
      <c r="B346" s="187" t="s">
        <v>635</v>
      </c>
      <c r="C346" s="187">
        <v>53</v>
      </c>
      <c r="D346" s="187">
        <v>0</v>
      </c>
      <c r="E346" s="193">
        <v>43768</v>
      </c>
      <c r="F346" s="187"/>
      <c r="G346" s="187">
        <v>5925.95</v>
      </c>
      <c r="H346" s="187">
        <v>99</v>
      </c>
      <c r="I346" s="187">
        <v>4182</v>
      </c>
      <c r="J346" s="187">
        <v>1188</v>
      </c>
      <c r="K346" s="187">
        <v>5370</v>
      </c>
      <c r="L346" s="187">
        <v>555.94999999999993</v>
      </c>
    </row>
    <row r="347" spans="1:12" ht="15">
      <c r="A347" s="187">
        <v>15405</v>
      </c>
      <c r="B347" s="187" t="s">
        <v>635</v>
      </c>
      <c r="C347" s="187">
        <v>53</v>
      </c>
      <c r="D347" s="187">
        <v>0</v>
      </c>
      <c r="E347" s="193">
        <v>43768</v>
      </c>
      <c r="F347" s="187"/>
      <c r="G347" s="187">
        <v>5925.95</v>
      </c>
      <c r="H347" s="187">
        <v>99</v>
      </c>
      <c r="I347" s="187">
        <v>4182</v>
      </c>
      <c r="J347" s="187">
        <v>1188</v>
      </c>
      <c r="K347" s="187">
        <v>5370</v>
      </c>
      <c r="L347" s="187">
        <v>555.94999999999993</v>
      </c>
    </row>
    <row r="348" spans="1:12" ht="15">
      <c r="A348" s="187">
        <v>15406</v>
      </c>
      <c r="B348" s="187" t="s">
        <v>635</v>
      </c>
      <c r="C348" s="187">
        <v>53</v>
      </c>
      <c r="D348" s="187">
        <v>0</v>
      </c>
      <c r="E348" s="193">
        <v>43768</v>
      </c>
      <c r="F348" s="187"/>
      <c r="G348" s="187">
        <v>5925.95</v>
      </c>
      <c r="H348" s="187">
        <v>99</v>
      </c>
      <c r="I348" s="187">
        <v>4182</v>
      </c>
      <c r="J348" s="187">
        <v>1188</v>
      </c>
      <c r="K348" s="187">
        <v>5370</v>
      </c>
      <c r="L348" s="187">
        <v>555.94999999999993</v>
      </c>
    </row>
    <row r="349" spans="1:12" ht="15">
      <c r="A349" s="187">
        <v>15407</v>
      </c>
      <c r="B349" s="187" t="s">
        <v>635</v>
      </c>
      <c r="C349" s="187">
        <v>53</v>
      </c>
      <c r="D349" s="187">
        <v>0</v>
      </c>
      <c r="E349" s="193">
        <v>43768</v>
      </c>
      <c r="F349" s="187"/>
      <c r="G349" s="187">
        <v>5926.1399999999994</v>
      </c>
      <c r="H349" s="187">
        <v>99</v>
      </c>
      <c r="I349" s="187">
        <v>4182</v>
      </c>
      <c r="J349" s="187">
        <v>1188</v>
      </c>
      <c r="K349" s="187">
        <v>5370</v>
      </c>
      <c r="L349" s="187">
        <v>556.14</v>
      </c>
    </row>
    <row r="350" spans="1:12" ht="15">
      <c r="A350" s="187">
        <v>15408</v>
      </c>
      <c r="B350" s="187" t="s">
        <v>636</v>
      </c>
      <c r="C350" s="187">
        <v>53</v>
      </c>
      <c r="D350" s="187">
        <v>0</v>
      </c>
      <c r="E350" s="193">
        <v>43768</v>
      </c>
      <c r="F350" s="187"/>
      <c r="G350" s="187">
        <v>17919.439999999999</v>
      </c>
      <c r="H350" s="187">
        <v>299</v>
      </c>
      <c r="I350" s="187">
        <v>17798</v>
      </c>
      <c r="J350" s="187">
        <v>121.44</v>
      </c>
      <c r="K350" s="187">
        <v>17919.439999999999</v>
      </c>
      <c r="L350" s="187">
        <v>0</v>
      </c>
    </row>
    <row r="351" spans="1:12" ht="15">
      <c r="A351" s="187">
        <v>15409</v>
      </c>
      <c r="B351" s="187" t="s">
        <v>637</v>
      </c>
      <c r="C351" s="187">
        <v>53</v>
      </c>
      <c r="D351" s="187">
        <v>0</v>
      </c>
      <c r="E351" s="193">
        <v>43768</v>
      </c>
      <c r="F351" s="187"/>
      <c r="G351" s="187">
        <v>17919.439999999999</v>
      </c>
      <c r="H351" s="187">
        <v>299</v>
      </c>
      <c r="I351" s="187">
        <v>17798</v>
      </c>
      <c r="J351" s="187">
        <v>121.44</v>
      </c>
      <c r="K351" s="187">
        <v>17919.439999999999</v>
      </c>
      <c r="L351" s="187">
        <v>0</v>
      </c>
    </row>
    <row r="352" spans="1:12" ht="15">
      <c r="A352" s="187">
        <v>15410</v>
      </c>
      <c r="B352" s="187" t="s">
        <v>638</v>
      </c>
      <c r="C352" s="187">
        <v>53</v>
      </c>
      <c r="D352" s="187">
        <v>0</v>
      </c>
      <c r="E352" s="193">
        <v>43768</v>
      </c>
      <c r="F352" s="187"/>
      <c r="G352" s="187">
        <v>214500.75999999998</v>
      </c>
      <c r="H352" s="187">
        <v>3576</v>
      </c>
      <c r="I352" s="187">
        <v>192504</v>
      </c>
      <c r="J352" s="187">
        <v>21996.76</v>
      </c>
      <c r="K352" s="187">
        <v>214500.75999999998</v>
      </c>
      <c r="L352" s="187">
        <v>0</v>
      </c>
    </row>
    <row r="353" spans="1:12" ht="15">
      <c r="A353" s="187">
        <v>15411</v>
      </c>
      <c r="B353" s="187" t="s">
        <v>639</v>
      </c>
      <c r="C353" s="187">
        <v>53</v>
      </c>
      <c r="D353" s="187">
        <v>0</v>
      </c>
      <c r="E353" s="193">
        <v>43768</v>
      </c>
      <c r="F353" s="187"/>
      <c r="G353" s="187">
        <v>198263.28999999998</v>
      </c>
      <c r="H353" s="187">
        <v>3305</v>
      </c>
      <c r="I353" s="187">
        <v>176378</v>
      </c>
      <c r="J353" s="187">
        <v>21885.289999999997</v>
      </c>
      <c r="K353" s="187">
        <v>198263.28999999998</v>
      </c>
      <c r="L353" s="187">
        <v>0</v>
      </c>
    </row>
    <row r="354" spans="1:12" ht="15">
      <c r="A354" s="187">
        <v>15412</v>
      </c>
      <c r="B354" s="187" t="s">
        <v>640</v>
      </c>
      <c r="C354" s="187">
        <v>53</v>
      </c>
      <c r="D354" s="187">
        <v>0</v>
      </c>
      <c r="E354" s="193">
        <v>43768</v>
      </c>
      <c r="F354" s="187"/>
      <c r="G354" s="187">
        <v>15100.66</v>
      </c>
      <c r="H354" s="187">
        <v>252</v>
      </c>
      <c r="I354" s="187">
        <v>15000</v>
      </c>
      <c r="J354" s="187">
        <v>100.66</v>
      </c>
      <c r="K354" s="187">
        <v>15100.66</v>
      </c>
      <c r="L354" s="187">
        <v>0</v>
      </c>
    </row>
    <row r="355" spans="1:12" ht="15">
      <c r="A355" s="187">
        <v>15413</v>
      </c>
      <c r="B355" s="187" t="s">
        <v>641</v>
      </c>
      <c r="C355" s="187">
        <v>53</v>
      </c>
      <c r="D355" s="187">
        <v>0</v>
      </c>
      <c r="E355" s="193">
        <v>43768</v>
      </c>
      <c r="F355" s="187"/>
      <c r="G355" s="187">
        <v>22945.649999999998</v>
      </c>
      <c r="H355" s="187">
        <v>383</v>
      </c>
      <c r="I355" s="187">
        <v>19838</v>
      </c>
      <c r="J355" s="187">
        <v>3107.6499999999996</v>
      </c>
      <c r="K355" s="187">
        <v>22945.649999999998</v>
      </c>
      <c r="L355" s="187">
        <v>0</v>
      </c>
    </row>
    <row r="356" spans="1:12" ht="15.75" thickBot="1">
      <c r="A356" s="187">
        <v>15414</v>
      </c>
      <c r="B356" s="187" t="s">
        <v>642</v>
      </c>
      <c r="C356" s="187">
        <v>53</v>
      </c>
      <c r="D356" s="187">
        <v>0</v>
      </c>
      <c r="E356" s="193">
        <v>43768</v>
      </c>
      <c r="F356" s="187"/>
      <c r="G356" s="187">
        <v>34325.079999999994</v>
      </c>
      <c r="H356" s="187">
        <v>573</v>
      </c>
      <c r="I356" s="187">
        <v>34090</v>
      </c>
      <c r="J356" s="187">
        <v>235.07999999999998</v>
      </c>
      <c r="K356" s="187">
        <v>34325.079999999994</v>
      </c>
      <c r="L356" s="187">
        <v>0</v>
      </c>
    </row>
    <row r="357" spans="1:12" ht="16.5" thickTop="1" thickBot="1">
      <c r="A357" s="192" t="s">
        <v>643</v>
      </c>
      <c r="B357" s="192"/>
      <c r="C357" s="192"/>
      <c r="D357" s="192"/>
      <c r="E357" s="192"/>
      <c r="F357" s="192"/>
      <c r="G357" s="192">
        <v>594780.07999999996</v>
      </c>
      <c r="H357" s="192">
        <v>9920</v>
      </c>
      <c r="I357" s="192">
        <v>529680</v>
      </c>
      <c r="J357" s="192">
        <v>59540.390000000007</v>
      </c>
      <c r="K357" s="192">
        <v>589220.3899999999</v>
      </c>
      <c r="L357" s="192">
        <v>5559.69</v>
      </c>
    </row>
    <row r="358" spans="1:12" ht="15.75" thickTop="1">
      <c r="A358" s="187">
        <v>16507</v>
      </c>
      <c r="B358" s="187" t="s">
        <v>644</v>
      </c>
      <c r="C358" s="187">
        <v>54</v>
      </c>
      <c r="D358" s="187">
        <v>10</v>
      </c>
      <c r="E358" s="193">
        <v>44208</v>
      </c>
      <c r="F358" s="187"/>
      <c r="G358" s="187">
        <v>1771944.48</v>
      </c>
      <c r="H358" s="187">
        <v>14767</v>
      </c>
      <c r="I358" s="187">
        <v>162437</v>
      </c>
      <c r="J358" s="187">
        <v>177204</v>
      </c>
      <c r="K358" s="187">
        <v>339641</v>
      </c>
      <c r="L358" s="187">
        <v>1432303.48</v>
      </c>
    </row>
    <row r="359" spans="1:12" ht="15">
      <c r="A359" s="187">
        <v>16508</v>
      </c>
      <c r="B359" s="187" t="s">
        <v>645</v>
      </c>
      <c r="C359" s="187">
        <v>54</v>
      </c>
      <c r="D359" s="187">
        <v>10</v>
      </c>
      <c r="E359" s="193">
        <v>44220</v>
      </c>
      <c r="F359" s="187"/>
      <c r="G359" s="187">
        <v>1771944.48</v>
      </c>
      <c r="H359" s="187">
        <v>14767</v>
      </c>
      <c r="I359" s="187">
        <v>162437</v>
      </c>
      <c r="J359" s="187">
        <v>177204</v>
      </c>
      <c r="K359" s="187">
        <v>339641</v>
      </c>
      <c r="L359" s="187">
        <v>1432303.48</v>
      </c>
    </row>
    <row r="360" spans="1:12" ht="15">
      <c r="A360" s="187">
        <v>16509</v>
      </c>
      <c r="B360" s="187" t="s">
        <v>646</v>
      </c>
      <c r="C360" s="187">
        <v>54</v>
      </c>
      <c r="D360" s="187">
        <v>10</v>
      </c>
      <c r="E360" s="193">
        <v>44225</v>
      </c>
      <c r="F360" s="187"/>
      <c r="G360" s="187">
        <v>1771944.48</v>
      </c>
      <c r="H360" s="187">
        <v>14767</v>
      </c>
      <c r="I360" s="187">
        <v>162437</v>
      </c>
      <c r="J360" s="187">
        <v>177204</v>
      </c>
      <c r="K360" s="187">
        <v>339641</v>
      </c>
      <c r="L360" s="187">
        <v>1432303.48</v>
      </c>
    </row>
    <row r="361" spans="1:12" ht="15">
      <c r="A361" s="187">
        <v>16510</v>
      </c>
      <c r="B361" s="187" t="s">
        <v>647</v>
      </c>
      <c r="C361" s="187">
        <v>54</v>
      </c>
      <c r="D361" s="187">
        <v>10</v>
      </c>
      <c r="E361" s="193">
        <v>44203</v>
      </c>
      <c r="F361" s="187"/>
      <c r="G361" s="187">
        <v>1771944.48</v>
      </c>
      <c r="H361" s="187">
        <v>14767</v>
      </c>
      <c r="I361" s="187">
        <v>162437</v>
      </c>
      <c r="J361" s="187">
        <v>177204</v>
      </c>
      <c r="K361" s="187">
        <v>339641</v>
      </c>
      <c r="L361" s="187">
        <v>1432303.48</v>
      </c>
    </row>
    <row r="362" spans="1:12" ht="15.75" thickBot="1">
      <c r="A362" s="187">
        <v>16511</v>
      </c>
      <c r="B362" s="187" t="s">
        <v>648</v>
      </c>
      <c r="C362" s="187">
        <v>54</v>
      </c>
      <c r="D362" s="187">
        <v>10</v>
      </c>
      <c r="E362" s="193">
        <v>44238</v>
      </c>
      <c r="F362" s="187"/>
      <c r="G362" s="187">
        <v>1771944.48</v>
      </c>
      <c r="H362" s="187">
        <v>14767</v>
      </c>
      <c r="I362" s="187">
        <v>147670</v>
      </c>
      <c r="J362" s="187">
        <v>177204</v>
      </c>
      <c r="K362" s="187">
        <v>324874</v>
      </c>
      <c r="L362" s="187">
        <v>1447070.48</v>
      </c>
    </row>
    <row r="363" spans="1:12" ht="16.5" thickTop="1" thickBot="1">
      <c r="A363" s="192" t="s">
        <v>649</v>
      </c>
      <c r="B363" s="192"/>
      <c r="C363" s="192"/>
      <c r="D363" s="192"/>
      <c r="E363" s="192"/>
      <c r="F363" s="192"/>
      <c r="G363" s="192">
        <v>8859722.4000000004</v>
      </c>
      <c r="H363" s="192">
        <v>73835</v>
      </c>
      <c r="I363" s="192">
        <v>797418</v>
      </c>
      <c r="J363" s="192">
        <v>886020</v>
      </c>
      <c r="K363" s="192">
        <v>1683438</v>
      </c>
      <c r="L363" s="192">
        <v>7176284.4000000004</v>
      </c>
    </row>
    <row r="364" spans="1:12" ht="15.75" thickTop="1">
      <c r="A364" s="187">
        <v>16464</v>
      </c>
      <c r="B364" s="187" t="s">
        <v>650</v>
      </c>
      <c r="C364" s="187">
        <v>56</v>
      </c>
      <c r="D364" s="187">
        <v>10</v>
      </c>
      <c r="E364" s="193">
        <v>42163</v>
      </c>
      <c r="F364" s="187"/>
      <c r="G364" s="187">
        <v>904019</v>
      </c>
      <c r="H364" s="187">
        <v>7534</v>
      </c>
      <c r="I364" s="187">
        <v>586904</v>
      </c>
      <c r="J364" s="187">
        <v>90408</v>
      </c>
      <c r="K364" s="187">
        <v>677312</v>
      </c>
      <c r="L364" s="187">
        <v>226707</v>
      </c>
    </row>
    <row r="365" spans="1:12" ht="15">
      <c r="A365" s="187">
        <v>16465</v>
      </c>
      <c r="B365" s="187" t="s">
        <v>651</v>
      </c>
      <c r="C365" s="187">
        <v>56</v>
      </c>
      <c r="D365" s="187">
        <v>10</v>
      </c>
      <c r="E365" s="193">
        <v>42163</v>
      </c>
      <c r="F365" s="187"/>
      <c r="G365" s="187">
        <v>904019</v>
      </c>
      <c r="H365" s="187">
        <v>7534</v>
      </c>
      <c r="I365" s="187">
        <v>586904</v>
      </c>
      <c r="J365" s="187">
        <v>90408</v>
      </c>
      <c r="K365" s="187">
        <v>677312</v>
      </c>
      <c r="L365" s="187">
        <v>226707</v>
      </c>
    </row>
    <row r="366" spans="1:12" ht="15">
      <c r="A366" s="187">
        <v>16466</v>
      </c>
      <c r="B366" s="187" t="s">
        <v>652</v>
      </c>
      <c r="C366" s="187">
        <v>56</v>
      </c>
      <c r="D366" s="187">
        <v>10</v>
      </c>
      <c r="E366" s="193">
        <v>42163</v>
      </c>
      <c r="F366" s="187"/>
      <c r="G366" s="187">
        <v>904019</v>
      </c>
      <c r="H366" s="187">
        <v>7534</v>
      </c>
      <c r="I366" s="187">
        <v>586904</v>
      </c>
      <c r="J366" s="187">
        <v>90408</v>
      </c>
      <c r="K366" s="187">
        <v>677312</v>
      </c>
      <c r="L366" s="187">
        <v>226707</v>
      </c>
    </row>
    <row r="367" spans="1:12" ht="15">
      <c r="A367" s="187">
        <v>16467</v>
      </c>
      <c r="B367" s="187" t="s">
        <v>653</v>
      </c>
      <c r="C367" s="187">
        <v>56</v>
      </c>
      <c r="D367" s="187">
        <v>10</v>
      </c>
      <c r="E367" s="193">
        <v>42163</v>
      </c>
      <c r="F367" s="187"/>
      <c r="G367" s="187">
        <v>904019</v>
      </c>
      <c r="H367" s="187">
        <v>7534</v>
      </c>
      <c r="I367" s="187">
        <v>586904</v>
      </c>
      <c r="J367" s="187">
        <v>90408</v>
      </c>
      <c r="K367" s="187">
        <v>677312</v>
      </c>
      <c r="L367" s="187">
        <v>226707</v>
      </c>
    </row>
    <row r="368" spans="1:12" ht="15">
      <c r="A368" s="187">
        <v>16468</v>
      </c>
      <c r="B368" s="187" t="s">
        <v>654</v>
      </c>
      <c r="C368" s="187">
        <v>56</v>
      </c>
      <c r="D368" s="187">
        <v>10</v>
      </c>
      <c r="E368" s="193">
        <v>42163</v>
      </c>
      <c r="F368" s="187"/>
      <c r="G368" s="187">
        <v>904019</v>
      </c>
      <c r="H368" s="187">
        <v>7534</v>
      </c>
      <c r="I368" s="187">
        <v>586904</v>
      </c>
      <c r="J368" s="187">
        <v>90408</v>
      </c>
      <c r="K368" s="187">
        <v>677312</v>
      </c>
      <c r="L368" s="187">
        <v>226707</v>
      </c>
    </row>
    <row r="369" spans="1:13" ht="15">
      <c r="A369" s="187">
        <v>16469</v>
      </c>
      <c r="B369" s="187" t="s">
        <v>655</v>
      </c>
      <c r="C369" s="187">
        <v>56</v>
      </c>
      <c r="D369" s="187">
        <v>10</v>
      </c>
      <c r="E369" s="193">
        <v>42163</v>
      </c>
      <c r="F369" s="187"/>
      <c r="G369" s="187">
        <v>910410</v>
      </c>
      <c r="H369" s="187">
        <v>7587</v>
      </c>
      <c r="I369" s="187">
        <v>591038</v>
      </c>
      <c r="J369" s="187">
        <v>91044</v>
      </c>
      <c r="K369" s="187">
        <v>682082</v>
      </c>
      <c r="L369" s="187">
        <v>228328</v>
      </c>
    </row>
    <row r="370" spans="1:13" ht="15">
      <c r="A370" s="187">
        <v>16470</v>
      </c>
      <c r="B370" s="187" t="s">
        <v>656</v>
      </c>
      <c r="C370" s="187">
        <v>56</v>
      </c>
      <c r="D370" s="187">
        <v>10</v>
      </c>
      <c r="E370" s="193">
        <v>42163</v>
      </c>
      <c r="F370" s="187"/>
      <c r="G370" s="187">
        <v>910410</v>
      </c>
      <c r="H370" s="187">
        <v>7587</v>
      </c>
      <c r="I370" s="187">
        <v>591038</v>
      </c>
      <c r="J370" s="187">
        <v>91044</v>
      </c>
      <c r="K370" s="187">
        <v>682082</v>
      </c>
      <c r="L370" s="187">
        <v>228328</v>
      </c>
    </row>
    <row r="371" spans="1:13" ht="15">
      <c r="A371" s="187">
        <v>16471</v>
      </c>
      <c r="B371" s="187" t="s">
        <v>657</v>
      </c>
      <c r="C371" s="187">
        <v>56</v>
      </c>
      <c r="D371" s="187">
        <v>10</v>
      </c>
      <c r="E371" s="193">
        <v>42163</v>
      </c>
      <c r="F371" s="187"/>
      <c r="G371" s="187">
        <v>910410</v>
      </c>
      <c r="H371" s="187">
        <v>7587</v>
      </c>
      <c r="I371" s="187">
        <v>591038</v>
      </c>
      <c r="J371" s="187">
        <v>91044</v>
      </c>
      <c r="K371" s="187">
        <v>682082</v>
      </c>
      <c r="L371" s="187">
        <v>228328</v>
      </c>
    </row>
    <row r="372" spans="1:13" ht="15">
      <c r="A372" s="187">
        <v>16472</v>
      </c>
      <c r="B372" s="187" t="s">
        <v>658</v>
      </c>
      <c r="C372" s="187">
        <v>56</v>
      </c>
      <c r="D372" s="187">
        <v>10</v>
      </c>
      <c r="E372" s="193">
        <v>42163</v>
      </c>
      <c r="F372" s="187"/>
      <c r="G372" s="187">
        <v>910410</v>
      </c>
      <c r="H372" s="187">
        <v>7587</v>
      </c>
      <c r="I372" s="187">
        <v>591038</v>
      </c>
      <c r="J372" s="187">
        <v>91044</v>
      </c>
      <c r="K372" s="187">
        <v>682082</v>
      </c>
      <c r="L372" s="187">
        <v>228328</v>
      </c>
    </row>
    <row r="373" spans="1:13" ht="15">
      <c r="A373" s="187">
        <v>16473</v>
      </c>
      <c r="B373" s="187" t="s">
        <v>659</v>
      </c>
      <c r="C373" s="187">
        <v>56</v>
      </c>
      <c r="D373" s="187">
        <v>10</v>
      </c>
      <c r="E373" s="193">
        <v>42163</v>
      </c>
      <c r="F373" s="187"/>
      <c r="G373" s="187">
        <v>910410</v>
      </c>
      <c r="H373" s="187">
        <v>7587</v>
      </c>
      <c r="I373" s="187">
        <v>591038</v>
      </c>
      <c r="J373" s="187">
        <v>91044</v>
      </c>
      <c r="K373" s="187">
        <v>682082</v>
      </c>
      <c r="L373" s="187">
        <v>228328</v>
      </c>
    </row>
    <row r="374" spans="1:13" ht="15">
      <c r="A374" s="187">
        <v>16474</v>
      </c>
      <c r="B374" s="187" t="s">
        <v>660</v>
      </c>
      <c r="C374" s="187">
        <v>56</v>
      </c>
      <c r="D374" s="187">
        <v>10</v>
      </c>
      <c r="E374" s="193">
        <v>42163</v>
      </c>
      <c r="F374" s="187"/>
      <c r="G374" s="187">
        <v>910410</v>
      </c>
      <c r="H374" s="187">
        <v>7587</v>
      </c>
      <c r="I374" s="187">
        <v>591038</v>
      </c>
      <c r="J374" s="187">
        <v>91044</v>
      </c>
      <c r="K374" s="187">
        <v>682082</v>
      </c>
      <c r="L374" s="187">
        <v>228328</v>
      </c>
    </row>
    <row r="375" spans="1:13" ht="15">
      <c r="A375" s="187">
        <v>16475</v>
      </c>
      <c r="B375" s="187" t="s">
        <v>661</v>
      </c>
      <c r="C375" s="187">
        <v>56</v>
      </c>
      <c r="D375" s="187">
        <v>10</v>
      </c>
      <c r="E375" s="193">
        <v>42163</v>
      </c>
      <c r="F375" s="187"/>
      <c r="G375" s="187">
        <v>910410</v>
      </c>
      <c r="H375" s="187">
        <v>7587</v>
      </c>
      <c r="I375" s="187">
        <v>591038</v>
      </c>
      <c r="J375" s="187">
        <v>91044</v>
      </c>
      <c r="K375" s="187">
        <v>682082</v>
      </c>
      <c r="L375" s="187">
        <v>228328</v>
      </c>
    </row>
    <row r="376" spans="1:13" ht="15">
      <c r="A376" s="187">
        <v>16476</v>
      </c>
      <c r="B376" s="187" t="s">
        <v>662</v>
      </c>
      <c r="C376" s="187">
        <v>56</v>
      </c>
      <c r="D376" s="187">
        <v>10</v>
      </c>
      <c r="E376" s="193">
        <v>42163</v>
      </c>
      <c r="F376" s="187"/>
      <c r="G376" s="187">
        <v>910410</v>
      </c>
      <c r="H376" s="187">
        <v>7587</v>
      </c>
      <c r="I376" s="187">
        <v>591038</v>
      </c>
      <c r="J376" s="187">
        <v>91044</v>
      </c>
      <c r="K376" s="187">
        <v>682082</v>
      </c>
      <c r="L376" s="187">
        <v>228328</v>
      </c>
    </row>
    <row r="377" spans="1:13" ht="15">
      <c r="A377" s="187">
        <v>16477</v>
      </c>
      <c r="B377" s="187" t="s">
        <v>663</v>
      </c>
      <c r="C377" s="187">
        <v>56</v>
      </c>
      <c r="D377" s="187">
        <v>10</v>
      </c>
      <c r="E377" s="193">
        <v>42247</v>
      </c>
      <c r="F377" s="187"/>
      <c r="G377" s="187">
        <v>904019</v>
      </c>
      <c r="H377" s="187">
        <v>7534</v>
      </c>
      <c r="I377" s="187">
        <v>571924</v>
      </c>
      <c r="J377" s="187">
        <v>90408</v>
      </c>
      <c r="K377" s="187">
        <v>662332</v>
      </c>
      <c r="L377" s="187">
        <v>241687</v>
      </c>
    </row>
    <row r="378" spans="1:13" ht="15">
      <c r="A378" s="187">
        <v>16478</v>
      </c>
      <c r="B378" s="187" t="s">
        <v>664</v>
      </c>
      <c r="C378" s="187">
        <v>56</v>
      </c>
      <c r="D378" s="187">
        <v>10</v>
      </c>
      <c r="E378" s="193">
        <v>42247</v>
      </c>
      <c r="F378" s="187"/>
      <c r="G378" s="187">
        <v>904019</v>
      </c>
      <c r="H378" s="187">
        <v>7534</v>
      </c>
      <c r="I378" s="187">
        <v>571924</v>
      </c>
      <c r="J378" s="187">
        <v>90408</v>
      </c>
      <c r="K378" s="187">
        <v>662332</v>
      </c>
      <c r="L378" s="187">
        <v>241687</v>
      </c>
    </row>
    <row r="379" spans="1:13" ht="15">
      <c r="A379" s="194">
        <v>221001</v>
      </c>
      <c r="B379" s="194" t="s">
        <v>665</v>
      </c>
      <c r="C379" s="194">
        <v>56</v>
      </c>
      <c r="D379" s="194">
        <v>10</v>
      </c>
      <c r="E379" s="195">
        <v>44580</v>
      </c>
      <c r="F379" s="194"/>
      <c r="G379" s="194">
        <v>990848.5</v>
      </c>
      <c r="H379" s="194">
        <v>8258</v>
      </c>
      <c r="I379" s="194">
        <v>0</v>
      </c>
      <c r="J379" s="194">
        <v>90838</v>
      </c>
      <c r="K379" s="194">
        <v>90838</v>
      </c>
      <c r="L379" s="194">
        <v>900010.5</v>
      </c>
      <c r="M379" s="196" t="s">
        <v>773</v>
      </c>
    </row>
    <row r="380" spans="1:13" ht="15">
      <c r="A380" s="194">
        <v>221002</v>
      </c>
      <c r="B380" s="194" t="s">
        <v>666</v>
      </c>
      <c r="C380" s="194">
        <v>56</v>
      </c>
      <c r="D380" s="194">
        <v>10</v>
      </c>
      <c r="E380" s="195">
        <v>44580</v>
      </c>
      <c r="F380" s="194"/>
      <c r="G380" s="194">
        <v>990848.5</v>
      </c>
      <c r="H380" s="194">
        <v>8258</v>
      </c>
      <c r="I380" s="194">
        <v>0</v>
      </c>
      <c r="J380" s="194">
        <v>90838</v>
      </c>
      <c r="K380" s="194">
        <v>90838</v>
      </c>
      <c r="L380" s="194">
        <v>900010.5</v>
      </c>
      <c r="M380" s="196" t="s">
        <v>773</v>
      </c>
    </row>
    <row r="381" spans="1:13" ht="15">
      <c r="A381" s="194">
        <v>221003</v>
      </c>
      <c r="B381" s="194" t="s">
        <v>667</v>
      </c>
      <c r="C381" s="194">
        <v>56</v>
      </c>
      <c r="D381" s="194">
        <v>10</v>
      </c>
      <c r="E381" s="195">
        <v>44580</v>
      </c>
      <c r="F381" s="194"/>
      <c r="G381" s="194">
        <v>990848.5</v>
      </c>
      <c r="H381" s="194">
        <v>8258</v>
      </c>
      <c r="I381" s="194">
        <v>0</v>
      </c>
      <c r="J381" s="194">
        <v>90838</v>
      </c>
      <c r="K381" s="194">
        <v>90838</v>
      </c>
      <c r="L381" s="194">
        <v>900010.5</v>
      </c>
      <c r="M381" s="196" t="s">
        <v>773</v>
      </c>
    </row>
    <row r="382" spans="1:13" ht="15">
      <c r="A382" s="194">
        <v>221004</v>
      </c>
      <c r="B382" s="194" t="s">
        <v>668</v>
      </c>
      <c r="C382" s="194">
        <v>56</v>
      </c>
      <c r="D382" s="194">
        <v>10</v>
      </c>
      <c r="E382" s="195">
        <v>44580</v>
      </c>
      <c r="F382" s="194"/>
      <c r="G382" s="194">
        <v>990848.5</v>
      </c>
      <c r="H382" s="194">
        <v>8258</v>
      </c>
      <c r="I382" s="194">
        <v>0</v>
      </c>
      <c r="J382" s="194">
        <v>90838</v>
      </c>
      <c r="K382" s="194">
        <v>90838</v>
      </c>
      <c r="L382" s="194">
        <v>900010.5</v>
      </c>
      <c r="M382" s="196" t="s">
        <v>773</v>
      </c>
    </row>
    <row r="383" spans="1:13" ht="15.75" thickBot="1">
      <c r="A383" s="194">
        <v>221005</v>
      </c>
      <c r="B383" s="194" t="s">
        <v>669</v>
      </c>
      <c r="C383" s="194">
        <v>56</v>
      </c>
      <c r="D383" s="194">
        <v>10</v>
      </c>
      <c r="E383" s="195">
        <v>44580</v>
      </c>
      <c r="F383" s="194"/>
      <c r="G383" s="194">
        <v>990848.5</v>
      </c>
      <c r="H383" s="194">
        <v>8258</v>
      </c>
      <c r="I383" s="194">
        <v>0</v>
      </c>
      <c r="J383" s="194">
        <v>90838</v>
      </c>
      <c r="K383" s="194">
        <v>90838</v>
      </c>
      <c r="L383" s="194">
        <v>900010.5</v>
      </c>
      <c r="M383" s="196" t="s">
        <v>773</v>
      </c>
    </row>
    <row r="384" spans="1:13" ht="16.5" thickTop="1" thickBot="1">
      <c r="A384" s="192" t="s">
        <v>670</v>
      </c>
      <c r="B384" s="192"/>
      <c r="C384" s="192"/>
      <c r="D384" s="192"/>
      <c r="E384" s="192"/>
      <c r="F384" s="192"/>
      <c r="G384" s="192">
        <v>18565655.5</v>
      </c>
      <c r="H384" s="192">
        <v>154724</v>
      </c>
      <c r="I384" s="192">
        <v>8806672</v>
      </c>
      <c r="J384" s="192">
        <v>1815398</v>
      </c>
      <c r="K384" s="192">
        <v>10622070</v>
      </c>
      <c r="L384" s="192">
        <v>7943585.5</v>
      </c>
    </row>
    <row r="385" spans="1:12" ht="15.75" thickTop="1">
      <c r="A385" s="187">
        <v>16457</v>
      </c>
      <c r="B385" s="187" t="s">
        <v>671</v>
      </c>
      <c r="C385" s="187">
        <v>57</v>
      </c>
      <c r="D385" s="187">
        <v>8.2999999999999989</v>
      </c>
      <c r="E385" s="193">
        <v>41879</v>
      </c>
      <c r="F385" s="187"/>
      <c r="G385" s="187">
        <v>6137569</v>
      </c>
      <c r="H385" s="187">
        <v>42452</v>
      </c>
      <c r="I385" s="187">
        <v>3743360</v>
      </c>
      <c r="J385" s="187">
        <v>509424</v>
      </c>
      <c r="K385" s="187">
        <v>4252784</v>
      </c>
      <c r="L385" s="187">
        <v>1884785</v>
      </c>
    </row>
    <row r="386" spans="1:12" ht="15">
      <c r="A386" s="187">
        <v>16458</v>
      </c>
      <c r="B386" s="187" t="s">
        <v>672</v>
      </c>
      <c r="C386" s="187">
        <v>57</v>
      </c>
      <c r="D386" s="187">
        <v>8.2999999999999989</v>
      </c>
      <c r="E386" s="193">
        <v>41880</v>
      </c>
      <c r="F386" s="187"/>
      <c r="G386" s="187">
        <v>6137570</v>
      </c>
      <c r="H386" s="187">
        <v>42452</v>
      </c>
      <c r="I386" s="187">
        <v>3743360</v>
      </c>
      <c r="J386" s="187">
        <v>509424</v>
      </c>
      <c r="K386" s="187">
        <v>4252784</v>
      </c>
      <c r="L386" s="187">
        <v>1884786</v>
      </c>
    </row>
    <row r="387" spans="1:12" ht="15">
      <c r="A387" s="187">
        <v>16459</v>
      </c>
      <c r="B387" s="187" t="s">
        <v>673</v>
      </c>
      <c r="C387" s="187">
        <v>57</v>
      </c>
      <c r="D387" s="187">
        <v>8.2999999999999989</v>
      </c>
      <c r="E387" s="193">
        <v>41879</v>
      </c>
      <c r="F387" s="187"/>
      <c r="G387" s="187">
        <v>6137570</v>
      </c>
      <c r="H387" s="187">
        <v>42452</v>
      </c>
      <c r="I387" s="187">
        <v>3743360</v>
      </c>
      <c r="J387" s="187">
        <v>509424</v>
      </c>
      <c r="K387" s="187">
        <v>4252784</v>
      </c>
      <c r="L387" s="187">
        <v>1884786</v>
      </c>
    </row>
    <row r="388" spans="1:12" ht="15">
      <c r="A388" s="187">
        <v>16460</v>
      </c>
      <c r="B388" s="187" t="s">
        <v>674</v>
      </c>
      <c r="C388" s="187">
        <v>57</v>
      </c>
      <c r="D388" s="187">
        <v>8.2999999999999989</v>
      </c>
      <c r="E388" s="193">
        <v>41884</v>
      </c>
      <c r="F388" s="187"/>
      <c r="G388" s="187">
        <v>6137570</v>
      </c>
      <c r="H388" s="187">
        <v>42452</v>
      </c>
      <c r="I388" s="187">
        <v>3702319</v>
      </c>
      <c r="J388" s="187">
        <v>509424</v>
      </c>
      <c r="K388" s="187">
        <v>4211743</v>
      </c>
      <c r="L388" s="187">
        <v>1925827</v>
      </c>
    </row>
    <row r="389" spans="1:12" ht="15">
      <c r="A389" s="187">
        <v>16461</v>
      </c>
      <c r="B389" s="187" t="s">
        <v>675</v>
      </c>
      <c r="C389" s="187">
        <v>57</v>
      </c>
      <c r="D389" s="187">
        <v>8.2999999999999989</v>
      </c>
      <c r="E389" s="193">
        <v>41886</v>
      </c>
      <c r="F389" s="187"/>
      <c r="G389" s="187">
        <v>6137570</v>
      </c>
      <c r="H389" s="187">
        <v>42452</v>
      </c>
      <c r="I389" s="187">
        <v>3702319</v>
      </c>
      <c r="J389" s="187">
        <v>509424</v>
      </c>
      <c r="K389" s="187">
        <v>4211743</v>
      </c>
      <c r="L389" s="187">
        <v>1925827</v>
      </c>
    </row>
    <row r="390" spans="1:12" ht="15">
      <c r="A390" s="187">
        <v>16462</v>
      </c>
      <c r="B390" s="187" t="s">
        <v>676</v>
      </c>
      <c r="C390" s="187">
        <v>57</v>
      </c>
      <c r="D390" s="187">
        <v>8.2999999999999989</v>
      </c>
      <c r="E390" s="193">
        <v>42165</v>
      </c>
      <c r="F390" s="187"/>
      <c r="G390" s="187">
        <v>6137564</v>
      </c>
      <c r="H390" s="187">
        <v>42452</v>
      </c>
      <c r="I390" s="187">
        <v>3364359</v>
      </c>
      <c r="J390" s="187">
        <v>509424</v>
      </c>
      <c r="K390" s="187">
        <v>3873783</v>
      </c>
      <c r="L390" s="187">
        <v>2263781</v>
      </c>
    </row>
    <row r="391" spans="1:12" ht="15.75" thickBot="1">
      <c r="A391" s="187">
        <v>16463</v>
      </c>
      <c r="B391" s="187" t="s">
        <v>677</v>
      </c>
      <c r="C391" s="187">
        <v>57</v>
      </c>
      <c r="D391" s="187">
        <v>8.2999999999999989</v>
      </c>
      <c r="E391" s="193">
        <v>42164</v>
      </c>
      <c r="F391" s="187"/>
      <c r="G391" s="187">
        <v>6137564</v>
      </c>
      <c r="H391" s="187">
        <v>42452</v>
      </c>
      <c r="I391" s="187">
        <v>3364359</v>
      </c>
      <c r="J391" s="187">
        <v>509424</v>
      </c>
      <c r="K391" s="187">
        <v>3873783</v>
      </c>
      <c r="L391" s="187">
        <v>2263781</v>
      </c>
    </row>
    <row r="392" spans="1:12" ht="16.5" thickTop="1" thickBot="1">
      <c r="A392" s="192" t="s">
        <v>678</v>
      </c>
      <c r="B392" s="192"/>
      <c r="C392" s="192"/>
      <c r="D392" s="192"/>
      <c r="E392" s="192"/>
      <c r="F392" s="192"/>
      <c r="G392" s="192">
        <v>42962977</v>
      </c>
      <c r="H392" s="192">
        <v>297164</v>
      </c>
      <c r="I392" s="192">
        <v>25363436</v>
      </c>
      <c r="J392" s="192">
        <v>3565968</v>
      </c>
      <c r="K392" s="192">
        <v>28929404</v>
      </c>
      <c r="L392" s="192">
        <v>14033573</v>
      </c>
    </row>
    <row r="393" spans="1:12" ht="15.75" thickTop="1">
      <c r="A393" s="305">
        <v>16443</v>
      </c>
      <c r="B393" s="305" t="s">
        <v>679</v>
      </c>
      <c r="C393" s="305">
        <v>58</v>
      </c>
      <c r="D393" s="305">
        <v>10</v>
      </c>
      <c r="E393" s="306">
        <v>40660</v>
      </c>
      <c r="F393" s="305"/>
      <c r="G393" s="305">
        <v>2596987</v>
      </c>
      <c r="H393" s="305">
        <v>21642</v>
      </c>
      <c r="I393" s="305">
        <v>2596987</v>
      </c>
      <c r="J393" s="305">
        <v>0</v>
      </c>
      <c r="K393" s="305">
        <v>2596987</v>
      </c>
      <c r="L393" s="305">
        <v>0</v>
      </c>
    </row>
    <row r="394" spans="1:12" ht="15">
      <c r="A394" s="187">
        <v>16444</v>
      </c>
      <c r="B394" s="187" t="s">
        <v>680</v>
      </c>
      <c r="C394" s="187">
        <v>58</v>
      </c>
      <c r="D394" s="187">
        <v>10</v>
      </c>
      <c r="E394" s="193">
        <v>40660</v>
      </c>
      <c r="F394" s="187"/>
      <c r="G394" s="187">
        <v>2596987</v>
      </c>
      <c r="H394" s="187">
        <v>21642</v>
      </c>
      <c r="I394" s="187">
        <v>2596987</v>
      </c>
      <c r="J394" s="187">
        <v>0</v>
      </c>
      <c r="K394" s="187">
        <v>2596987</v>
      </c>
      <c r="L394" s="187">
        <v>0</v>
      </c>
    </row>
    <row r="395" spans="1:12" ht="15">
      <c r="A395" s="187">
        <v>16445</v>
      </c>
      <c r="B395" s="187" t="s">
        <v>681</v>
      </c>
      <c r="C395" s="187">
        <v>58</v>
      </c>
      <c r="D395" s="187">
        <v>10</v>
      </c>
      <c r="E395" s="193">
        <v>40660</v>
      </c>
      <c r="F395" s="187"/>
      <c r="G395" s="187">
        <v>2596987</v>
      </c>
      <c r="H395" s="187">
        <v>21642</v>
      </c>
      <c r="I395" s="187">
        <v>2596987</v>
      </c>
      <c r="J395" s="187">
        <v>0</v>
      </c>
      <c r="K395" s="187">
        <v>2596987</v>
      </c>
      <c r="L395" s="187">
        <v>0</v>
      </c>
    </row>
    <row r="396" spans="1:12" ht="15">
      <c r="A396" s="187">
        <v>16446</v>
      </c>
      <c r="B396" s="187" t="s">
        <v>682</v>
      </c>
      <c r="C396" s="187">
        <v>58</v>
      </c>
      <c r="D396" s="187">
        <v>10</v>
      </c>
      <c r="E396" s="193">
        <v>40660</v>
      </c>
      <c r="F396" s="187"/>
      <c r="G396" s="187">
        <v>2596987</v>
      </c>
      <c r="H396" s="187">
        <v>21642</v>
      </c>
      <c r="I396" s="187">
        <v>2596987</v>
      </c>
      <c r="J396" s="187">
        <v>0</v>
      </c>
      <c r="K396" s="187">
        <v>2596987</v>
      </c>
      <c r="L396" s="187">
        <v>0</v>
      </c>
    </row>
    <row r="397" spans="1:12" ht="15">
      <c r="A397" s="187">
        <v>16447</v>
      </c>
      <c r="B397" s="187" t="s">
        <v>683</v>
      </c>
      <c r="C397" s="187">
        <v>58</v>
      </c>
      <c r="D397" s="187">
        <v>10</v>
      </c>
      <c r="E397" s="193">
        <v>40660</v>
      </c>
      <c r="F397" s="187"/>
      <c r="G397" s="187">
        <v>2596987</v>
      </c>
      <c r="H397" s="187">
        <v>21642</v>
      </c>
      <c r="I397" s="187">
        <v>2596987</v>
      </c>
      <c r="J397" s="187">
        <v>0</v>
      </c>
      <c r="K397" s="187">
        <v>2596987</v>
      </c>
      <c r="L397" s="187">
        <v>0</v>
      </c>
    </row>
    <row r="398" spans="1:12" ht="15">
      <c r="A398" s="187">
        <v>16448</v>
      </c>
      <c r="B398" s="187" t="s">
        <v>684</v>
      </c>
      <c r="C398" s="187">
        <v>58</v>
      </c>
      <c r="D398" s="187">
        <v>10</v>
      </c>
      <c r="E398" s="193">
        <v>40704</v>
      </c>
      <c r="F398" s="187"/>
      <c r="G398" s="187">
        <v>2596986</v>
      </c>
      <c r="H398" s="187">
        <v>21642</v>
      </c>
      <c r="I398" s="187">
        <v>2596986</v>
      </c>
      <c r="J398" s="187">
        <v>0</v>
      </c>
      <c r="K398" s="187">
        <v>2596986</v>
      </c>
      <c r="L398" s="187">
        <v>0</v>
      </c>
    </row>
    <row r="399" spans="1:12" ht="15">
      <c r="A399" s="187">
        <v>16449</v>
      </c>
      <c r="B399" s="187" t="s">
        <v>685</v>
      </c>
      <c r="C399" s="187">
        <v>58</v>
      </c>
      <c r="D399" s="187">
        <v>10</v>
      </c>
      <c r="E399" s="193">
        <v>40704</v>
      </c>
      <c r="F399" s="187"/>
      <c r="G399" s="187">
        <v>2596986</v>
      </c>
      <c r="H399" s="187">
        <v>21642</v>
      </c>
      <c r="I399" s="187">
        <v>2596986</v>
      </c>
      <c r="J399" s="187">
        <v>0</v>
      </c>
      <c r="K399" s="187">
        <v>2596986</v>
      </c>
      <c r="L399" s="187">
        <v>0</v>
      </c>
    </row>
    <row r="400" spans="1:12" ht="15">
      <c r="A400" s="187">
        <v>16450</v>
      </c>
      <c r="B400" s="187" t="s">
        <v>686</v>
      </c>
      <c r="C400" s="187">
        <v>58</v>
      </c>
      <c r="D400" s="187">
        <v>10</v>
      </c>
      <c r="E400" s="193">
        <v>40704</v>
      </c>
      <c r="F400" s="187"/>
      <c r="G400" s="187">
        <v>2596986</v>
      </c>
      <c r="H400" s="187">
        <v>21642</v>
      </c>
      <c r="I400" s="187">
        <v>2596986</v>
      </c>
      <c r="J400" s="187">
        <v>0</v>
      </c>
      <c r="K400" s="187">
        <v>2596986</v>
      </c>
      <c r="L400" s="187">
        <v>0</v>
      </c>
    </row>
    <row r="401" spans="1:12" ht="15">
      <c r="A401" s="187">
        <v>16451</v>
      </c>
      <c r="B401" s="187" t="s">
        <v>687</v>
      </c>
      <c r="C401" s="187">
        <v>58</v>
      </c>
      <c r="D401" s="187">
        <v>10</v>
      </c>
      <c r="E401" s="193">
        <v>40704</v>
      </c>
      <c r="F401" s="187"/>
      <c r="G401" s="187">
        <v>2596985</v>
      </c>
      <c r="H401" s="187">
        <v>21642</v>
      </c>
      <c r="I401" s="187">
        <v>2596985</v>
      </c>
      <c r="J401" s="187">
        <v>0</v>
      </c>
      <c r="K401" s="187">
        <v>2596985</v>
      </c>
      <c r="L401" s="187">
        <v>0</v>
      </c>
    </row>
    <row r="402" spans="1:12" ht="15">
      <c r="A402" s="187">
        <v>16452</v>
      </c>
      <c r="B402" s="187" t="s">
        <v>688</v>
      </c>
      <c r="C402" s="187">
        <v>58</v>
      </c>
      <c r="D402" s="187">
        <v>10</v>
      </c>
      <c r="E402" s="193">
        <v>40704</v>
      </c>
      <c r="F402" s="187"/>
      <c r="G402" s="187">
        <v>2596985</v>
      </c>
      <c r="H402" s="187">
        <v>21642</v>
      </c>
      <c r="I402" s="187">
        <v>2596985</v>
      </c>
      <c r="J402" s="187">
        <v>0</v>
      </c>
      <c r="K402" s="187">
        <v>2596985</v>
      </c>
      <c r="L402" s="187">
        <v>0</v>
      </c>
    </row>
    <row r="403" spans="1:12" ht="15">
      <c r="A403" s="187">
        <v>16453</v>
      </c>
      <c r="B403" s="187" t="s">
        <v>689</v>
      </c>
      <c r="C403" s="187">
        <v>58</v>
      </c>
      <c r="D403" s="187">
        <v>10</v>
      </c>
      <c r="E403" s="193">
        <v>41024</v>
      </c>
      <c r="F403" s="187"/>
      <c r="G403" s="187">
        <v>2596976</v>
      </c>
      <c r="H403" s="187">
        <v>21642</v>
      </c>
      <c r="I403" s="187">
        <v>2510402</v>
      </c>
      <c r="J403" s="187">
        <v>86574</v>
      </c>
      <c r="K403" s="187">
        <v>2596976</v>
      </c>
      <c r="L403" s="187">
        <v>0</v>
      </c>
    </row>
    <row r="404" spans="1:12" ht="15.75" thickBot="1">
      <c r="A404" s="187">
        <v>16454</v>
      </c>
      <c r="B404" s="187" t="s">
        <v>690</v>
      </c>
      <c r="C404" s="187">
        <v>58</v>
      </c>
      <c r="D404" s="187">
        <v>10</v>
      </c>
      <c r="E404" s="193">
        <v>41024</v>
      </c>
      <c r="F404" s="187"/>
      <c r="G404" s="187">
        <v>2596976</v>
      </c>
      <c r="H404" s="187">
        <v>21642</v>
      </c>
      <c r="I404" s="187">
        <v>2510402</v>
      </c>
      <c r="J404" s="187">
        <v>86574</v>
      </c>
      <c r="K404" s="187">
        <v>2596976</v>
      </c>
      <c r="L404" s="187">
        <v>0</v>
      </c>
    </row>
    <row r="405" spans="1:12" ht="16.5" thickTop="1" thickBot="1">
      <c r="A405" s="192" t="s">
        <v>691</v>
      </c>
      <c r="B405" s="192"/>
      <c r="C405" s="192"/>
      <c r="D405" s="192"/>
      <c r="E405" s="192"/>
      <c r="F405" s="192"/>
      <c r="G405" s="192">
        <v>31163815</v>
      </c>
      <c r="H405" s="192">
        <v>259704</v>
      </c>
      <c r="I405" s="192">
        <v>30990667</v>
      </c>
      <c r="J405" s="192">
        <v>173148</v>
      </c>
      <c r="K405" s="192">
        <v>31163815</v>
      </c>
      <c r="L405" s="192">
        <v>0</v>
      </c>
    </row>
    <row r="406" spans="1:12" ht="15.75" thickTop="1">
      <c r="A406" s="187">
        <v>16434</v>
      </c>
      <c r="B406" s="187" t="s">
        <v>692</v>
      </c>
      <c r="C406" s="187">
        <v>59</v>
      </c>
      <c r="D406" s="187">
        <v>8.2999999999999989</v>
      </c>
      <c r="E406" s="193">
        <v>40362</v>
      </c>
      <c r="F406" s="187"/>
      <c r="G406" s="187">
        <v>5727797</v>
      </c>
      <c r="H406" s="187">
        <v>39618</v>
      </c>
      <c r="I406" s="187">
        <v>5427343</v>
      </c>
      <c r="J406" s="187">
        <v>300454</v>
      </c>
      <c r="K406" s="187">
        <v>5727797</v>
      </c>
      <c r="L406" s="187">
        <v>0</v>
      </c>
    </row>
    <row r="407" spans="1:12" ht="15">
      <c r="A407" s="187">
        <v>16435</v>
      </c>
      <c r="B407" s="187" t="s">
        <v>693</v>
      </c>
      <c r="C407" s="187">
        <v>59</v>
      </c>
      <c r="D407" s="187">
        <v>8.2999999999999989</v>
      </c>
      <c r="E407" s="193">
        <v>40375</v>
      </c>
      <c r="F407" s="187"/>
      <c r="G407" s="187">
        <v>5727797</v>
      </c>
      <c r="H407" s="187">
        <v>39618</v>
      </c>
      <c r="I407" s="187">
        <v>5427343</v>
      </c>
      <c r="J407" s="187">
        <v>300454</v>
      </c>
      <c r="K407" s="187">
        <v>5727797</v>
      </c>
      <c r="L407" s="187">
        <v>0</v>
      </c>
    </row>
    <row r="408" spans="1:12" ht="15">
      <c r="A408" s="187">
        <v>16436</v>
      </c>
      <c r="B408" s="187" t="s">
        <v>694</v>
      </c>
      <c r="C408" s="187">
        <v>59</v>
      </c>
      <c r="D408" s="187">
        <v>8.2999999999999989</v>
      </c>
      <c r="E408" s="193">
        <v>40371</v>
      </c>
      <c r="F408" s="187"/>
      <c r="G408" s="187">
        <v>5727797</v>
      </c>
      <c r="H408" s="187">
        <v>39618</v>
      </c>
      <c r="I408" s="187">
        <v>5427343</v>
      </c>
      <c r="J408" s="187">
        <v>300454</v>
      </c>
      <c r="K408" s="187">
        <v>5727797</v>
      </c>
      <c r="L408" s="187">
        <v>0</v>
      </c>
    </row>
    <row r="409" spans="1:12" ht="15">
      <c r="A409" s="187">
        <v>16437</v>
      </c>
      <c r="B409" s="187" t="s">
        <v>695</v>
      </c>
      <c r="C409" s="187">
        <v>59</v>
      </c>
      <c r="D409" s="187">
        <v>8.2999999999999989</v>
      </c>
      <c r="E409" s="193">
        <v>40372</v>
      </c>
      <c r="F409" s="187"/>
      <c r="G409" s="187">
        <v>5727797</v>
      </c>
      <c r="H409" s="187">
        <v>39618</v>
      </c>
      <c r="I409" s="187">
        <v>5427343</v>
      </c>
      <c r="J409" s="187">
        <v>300454</v>
      </c>
      <c r="K409" s="187">
        <v>5727797</v>
      </c>
      <c r="L409" s="187">
        <v>0</v>
      </c>
    </row>
    <row r="410" spans="1:12" ht="15">
      <c r="A410" s="187">
        <v>16438</v>
      </c>
      <c r="B410" s="187" t="s">
        <v>696</v>
      </c>
      <c r="C410" s="187">
        <v>59</v>
      </c>
      <c r="D410" s="187">
        <v>8.2999999999999989</v>
      </c>
      <c r="E410" s="193">
        <v>40488</v>
      </c>
      <c r="F410" s="187"/>
      <c r="G410" s="187">
        <v>7246639</v>
      </c>
      <c r="H410" s="187">
        <v>50123</v>
      </c>
      <c r="I410" s="187">
        <v>6666301</v>
      </c>
      <c r="J410" s="187">
        <v>580338</v>
      </c>
      <c r="K410" s="187">
        <v>7246639</v>
      </c>
      <c r="L410" s="187">
        <v>0</v>
      </c>
    </row>
    <row r="411" spans="1:12" ht="15.75" thickBot="1">
      <c r="A411" s="187">
        <v>16439</v>
      </c>
      <c r="B411" s="187" t="s">
        <v>697</v>
      </c>
      <c r="C411" s="187">
        <v>59</v>
      </c>
      <c r="D411" s="187">
        <v>8.2999999999999989</v>
      </c>
      <c r="E411" s="193">
        <v>40493</v>
      </c>
      <c r="F411" s="187"/>
      <c r="G411" s="187">
        <v>7246639</v>
      </c>
      <c r="H411" s="187">
        <v>50123</v>
      </c>
      <c r="I411" s="187">
        <v>6666301</v>
      </c>
      <c r="J411" s="187">
        <v>580338</v>
      </c>
      <c r="K411" s="187">
        <v>7246639</v>
      </c>
      <c r="L411" s="187">
        <v>0</v>
      </c>
    </row>
    <row r="412" spans="1:12" ht="16.5" thickTop="1" thickBot="1">
      <c r="A412" s="192" t="s">
        <v>698</v>
      </c>
      <c r="B412" s="192"/>
      <c r="C412" s="192"/>
      <c r="D412" s="192"/>
      <c r="E412" s="192"/>
      <c r="F412" s="192"/>
      <c r="G412" s="192">
        <v>37404466</v>
      </c>
      <c r="H412" s="192">
        <v>258718</v>
      </c>
      <c r="I412" s="192">
        <v>35041974</v>
      </c>
      <c r="J412" s="192">
        <v>2362492</v>
      </c>
      <c r="K412" s="192">
        <v>37404466</v>
      </c>
      <c r="L412" s="192">
        <v>0</v>
      </c>
    </row>
    <row r="413" spans="1:12" ht="15.75" thickTop="1">
      <c r="A413" s="187">
        <v>16423</v>
      </c>
      <c r="B413" s="187" t="s">
        <v>699</v>
      </c>
      <c r="C413" s="187">
        <v>60</v>
      </c>
      <c r="D413" s="187">
        <v>8.2999999999999989</v>
      </c>
      <c r="E413" s="193">
        <v>39011</v>
      </c>
      <c r="F413" s="187"/>
      <c r="G413" s="187">
        <v>40208</v>
      </c>
      <c r="H413" s="187">
        <v>279</v>
      </c>
      <c r="I413" s="187">
        <v>40208</v>
      </c>
      <c r="J413" s="187">
        <v>0</v>
      </c>
      <c r="K413" s="187">
        <v>40208</v>
      </c>
      <c r="L413" s="187">
        <v>0</v>
      </c>
    </row>
    <row r="414" spans="1:12" ht="15">
      <c r="A414" s="187">
        <v>16424</v>
      </c>
      <c r="B414" s="187" t="s">
        <v>700</v>
      </c>
      <c r="C414" s="187">
        <v>60</v>
      </c>
      <c r="D414" s="187">
        <v>8.2999999999999989</v>
      </c>
      <c r="E414" s="193">
        <v>39011</v>
      </c>
      <c r="F414" s="187"/>
      <c r="G414" s="187">
        <v>40208</v>
      </c>
      <c r="H414" s="187">
        <v>279</v>
      </c>
      <c r="I414" s="187">
        <v>40208</v>
      </c>
      <c r="J414" s="187">
        <v>0</v>
      </c>
      <c r="K414" s="187">
        <v>40208</v>
      </c>
      <c r="L414" s="187">
        <v>0</v>
      </c>
    </row>
    <row r="415" spans="1:12" ht="15">
      <c r="A415" s="187">
        <v>16425</v>
      </c>
      <c r="B415" s="187" t="s">
        <v>701</v>
      </c>
      <c r="C415" s="187">
        <v>60</v>
      </c>
      <c r="D415" s="187">
        <v>8.2999999999999989</v>
      </c>
      <c r="E415" s="193">
        <v>39049</v>
      </c>
      <c r="F415" s="187"/>
      <c r="G415" s="187">
        <v>40208</v>
      </c>
      <c r="H415" s="187">
        <v>279</v>
      </c>
      <c r="I415" s="187">
        <v>40208</v>
      </c>
      <c r="J415" s="187">
        <v>0</v>
      </c>
      <c r="K415" s="187">
        <v>40208</v>
      </c>
      <c r="L415" s="187">
        <v>0</v>
      </c>
    </row>
    <row r="416" spans="1:12" ht="15">
      <c r="A416" s="187">
        <v>16426</v>
      </c>
      <c r="B416" s="187" t="s">
        <v>702</v>
      </c>
      <c r="C416" s="187">
        <v>60</v>
      </c>
      <c r="D416" s="187">
        <v>8.2999999999999989</v>
      </c>
      <c r="E416" s="193">
        <v>39107</v>
      </c>
      <c r="F416" s="187"/>
      <c r="G416" s="187">
        <v>40208</v>
      </c>
      <c r="H416" s="187">
        <v>279</v>
      </c>
      <c r="I416" s="187">
        <v>40208</v>
      </c>
      <c r="J416" s="187">
        <v>0</v>
      </c>
      <c r="K416" s="187">
        <v>40208</v>
      </c>
      <c r="L416" s="187">
        <v>0</v>
      </c>
    </row>
    <row r="417" spans="1:12" ht="15.75" thickBot="1">
      <c r="A417" s="187">
        <v>16428</v>
      </c>
      <c r="B417" s="187" t="s">
        <v>703</v>
      </c>
      <c r="C417" s="187">
        <v>60</v>
      </c>
      <c r="D417" s="187">
        <v>8.2999999999999989</v>
      </c>
      <c r="E417" s="193">
        <v>39107</v>
      </c>
      <c r="F417" s="187"/>
      <c r="G417" s="187">
        <v>40208</v>
      </c>
      <c r="H417" s="187">
        <v>279</v>
      </c>
      <c r="I417" s="187">
        <v>40208</v>
      </c>
      <c r="J417" s="187">
        <v>0</v>
      </c>
      <c r="K417" s="187">
        <v>40208</v>
      </c>
      <c r="L417" s="187">
        <v>0</v>
      </c>
    </row>
    <row r="418" spans="1:12" ht="16.5" thickTop="1" thickBot="1">
      <c r="A418" s="192" t="s">
        <v>704</v>
      </c>
      <c r="B418" s="192"/>
      <c r="C418" s="192"/>
      <c r="D418" s="192"/>
      <c r="E418" s="192"/>
      <c r="F418" s="192"/>
      <c r="G418" s="192">
        <v>201040</v>
      </c>
      <c r="H418" s="192">
        <v>1395</v>
      </c>
      <c r="I418" s="192">
        <v>201040</v>
      </c>
      <c r="J418" s="192">
        <v>0</v>
      </c>
      <c r="K418" s="192">
        <v>201040</v>
      </c>
      <c r="L418" s="192">
        <v>0</v>
      </c>
    </row>
    <row r="419" spans="1:12" ht="15.75" thickTop="1">
      <c r="A419" s="187">
        <v>16291</v>
      </c>
      <c r="B419" s="187" t="s">
        <v>705</v>
      </c>
      <c r="C419" s="187">
        <v>61</v>
      </c>
      <c r="D419" s="187">
        <v>7.5</v>
      </c>
      <c r="E419" s="193">
        <v>32416</v>
      </c>
      <c r="F419" s="187"/>
      <c r="G419" s="187">
        <v>72504</v>
      </c>
      <c r="H419" s="187">
        <v>454</v>
      </c>
      <c r="I419" s="187">
        <v>72504</v>
      </c>
      <c r="J419" s="187">
        <v>0</v>
      </c>
      <c r="K419" s="187">
        <v>72504</v>
      </c>
      <c r="L419" s="187">
        <v>0</v>
      </c>
    </row>
    <row r="420" spans="1:12" ht="15">
      <c r="A420" s="187">
        <v>16307</v>
      </c>
      <c r="B420" s="187" t="s">
        <v>706</v>
      </c>
      <c r="C420" s="187">
        <v>61</v>
      </c>
      <c r="D420" s="187">
        <v>7</v>
      </c>
      <c r="E420" s="193">
        <v>32864</v>
      </c>
      <c r="F420" s="187"/>
      <c r="G420" s="187">
        <v>6307</v>
      </c>
      <c r="H420" s="187">
        <v>37</v>
      </c>
      <c r="I420" s="187">
        <v>6307</v>
      </c>
      <c r="J420" s="187">
        <v>0</v>
      </c>
      <c r="K420" s="187">
        <v>6307</v>
      </c>
      <c r="L420" s="187">
        <v>0</v>
      </c>
    </row>
    <row r="421" spans="1:12" ht="15">
      <c r="A421" s="187">
        <v>16308</v>
      </c>
      <c r="B421" s="187" t="s">
        <v>706</v>
      </c>
      <c r="C421" s="187">
        <v>61</v>
      </c>
      <c r="D421" s="187">
        <v>7</v>
      </c>
      <c r="E421" s="193">
        <v>32864</v>
      </c>
      <c r="F421" s="187"/>
      <c r="G421" s="187">
        <v>6307</v>
      </c>
      <c r="H421" s="187">
        <v>37</v>
      </c>
      <c r="I421" s="187">
        <v>6307</v>
      </c>
      <c r="J421" s="187">
        <v>0</v>
      </c>
      <c r="K421" s="187">
        <v>6307</v>
      </c>
      <c r="L421" s="187">
        <v>0</v>
      </c>
    </row>
    <row r="422" spans="1:12" ht="15">
      <c r="A422" s="187">
        <v>16321</v>
      </c>
      <c r="B422" s="187" t="s">
        <v>707</v>
      </c>
      <c r="C422" s="187">
        <v>61</v>
      </c>
      <c r="D422" s="187">
        <v>7</v>
      </c>
      <c r="E422" s="193">
        <v>33178</v>
      </c>
      <c r="F422" s="187"/>
      <c r="G422" s="187">
        <v>53917</v>
      </c>
      <c r="H422" s="187">
        <v>315</v>
      </c>
      <c r="I422" s="187">
        <v>53917</v>
      </c>
      <c r="J422" s="187">
        <v>0</v>
      </c>
      <c r="K422" s="187">
        <v>53917</v>
      </c>
      <c r="L422" s="187">
        <v>0</v>
      </c>
    </row>
    <row r="423" spans="1:12" ht="15">
      <c r="A423" s="187">
        <v>16323</v>
      </c>
      <c r="B423" s="187" t="s">
        <v>707</v>
      </c>
      <c r="C423" s="187">
        <v>61</v>
      </c>
      <c r="D423" s="187">
        <v>7</v>
      </c>
      <c r="E423" s="193">
        <v>33178</v>
      </c>
      <c r="F423" s="193">
        <v>44621</v>
      </c>
      <c r="G423" s="187">
        <v>54017</v>
      </c>
      <c r="H423" s="187">
        <v>316</v>
      </c>
      <c r="I423" s="187">
        <v>54017</v>
      </c>
      <c r="J423" s="187">
        <v>0</v>
      </c>
      <c r="K423" s="187">
        <v>54017</v>
      </c>
      <c r="L423" s="187">
        <v>0</v>
      </c>
    </row>
    <row r="424" spans="1:12" ht="15">
      <c r="A424" s="187">
        <v>16351</v>
      </c>
      <c r="B424" s="187" t="s">
        <v>708</v>
      </c>
      <c r="C424" s="187">
        <v>61</v>
      </c>
      <c r="D424" s="187">
        <v>12</v>
      </c>
      <c r="E424" s="193">
        <v>33897</v>
      </c>
      <c r="F424" s="187"/>
      <c r="G424" s="187">
        <v>12852</v>
      </c>
      <c r="H424" s="187">
        <v>129</v>
      </c>
      <c r="I424" s="187">
        <v>12852</v>
      </c>
      <c r="J424" s="187">
        <v>0</v>
      </c>
      <c r="K424" s="187">
        <v>12852</v>
      </c>
      <c r="L424" s="187">
        <v>0</v>
      </c>
    </row>
    <row r="425" spans="1:12" ht="15">
      <c r="A425" s="187">
        <v>16357</v>
      </c>
      <c r="B425" s="187" t="s">
        <v>709</v>
      </c>
      <c r="C425" s="187">
        <v>61</v>
      </c>
      <c r="D425" s="187">
        <v>13.399999999999999</v>
      </c>
      <c r="E425" s="193">
        <v>34689</v>
      </c>
      <c r="F425" s="187"/>
      <c r="G425" s="187">
        <v>31256</v>
      </c>
      <c r="H425" s="187">
        <v>350</v>
      </c>
      <c r="I425" s="187">
        <v>31256</v>
      </c>
      <c r="J425" s="187">
        <v>0</v>
      </c>
      <c r="K425" s="187">
        <v>31256</v>
      </c>
      <c r="L425" s="187">
        <v>0</v>
      </c>
    </row>
    <row r="426" spans="1:12" ht="15">
      <c r="A426" s="187">
        <v>16373</v>
      </c>
      <c r="B426" s="187" t="s">
        <v>710</v>
      </c>
      <c r="C426" s="187">
        <v>61</v>
      </c>
      <c r="D426" s="187">
        <v>6.8999999999999995</v>
      </c>
      <c r="E426" s="193">
        <v>35430</v>
      </c>
      <c r="F426" s="193">
        <v>44621</v>
      </c>
      <c r="G426" s="187">
        <v>43501</v>
      </c>
      <c r="H426" s="187">
        <v>251</v>
      </c>
      <c r="I426" s="187">
        <v>43501</v>
      </c>
      <c r="J426" s="187">
        <v>0</v>
      </c>
      <c r="K426" s="187">
        <v>43501</v>
      </c>
      <c r="L426" s="187">
        <v>0</v>
      </c>
    </row>
    <row r="427" spans="1:12" ht="15">
      <c r="A427" s="187">
        <v>16377</v>
      </c>
      <c r="B427" s="187" t="s">
        <v>711</v>
      </c>
      <c r="C427" s="187">
        <v>61</v>
      </c>
      <c r="D427" s="187">
        <v>6.8999999999999995</v>
      </c>
      <c r="E427" s="193">
        <v>35429</v>
      </c>
      <c r="F427" s="187"/>
      <c r="G427" s="187">
        <v>62386</v>
      </c>
      <c r="H427" s="187">
        <v>359</v>
      </c>
      <c r="I427" s="187">
        <v>62386</v>
      </c>
      <c r="J427" s="187">
        <v>0</v>
      </c>
      <c r="K427" s="187">
        <v>62386</v>
      </c>
      <c r="L427" s="187">
        <v>0</v>
      </c>
    </row>
    <row r="428" spans="1:12" ht="15">
      <c r="A428" s="187">
        <v>16387</v>
      </c>
      <c r="B428" s="187" t="s">
        <v>712</v>
      </c>
      <c r="C428" s="187">
        <v>61</v>
      </c>
      <c r="D428" s="187">
        <v>28.599999999999998</v>
      </c>
      <c r="E428" s="193">
        <v>36159</v>
      </c>
      <c r="F428" s="193">
        <v>44621</v>
      </c>
      <c r="G428" s="187">
        <v>206233</v>
      </c>
      <c r="H428" s="187">
        <v>4916</v>
      </c>
      <c r="I428" s="187">
        <v>206233</v>
      </c>
      <c r="J428" s="187">
        <v>0</v>
      </c>
      <c r="K428" s="187">
        <v>206233</v>
      </c>
      <c r="L428" s="187">
        <v>0</v>
      </c>
    </row>
    <row r="429" spans="1:12" ht="15.75" thickBot="1">
      <c r="A429" s="187">
        <v>16487</v>
      </c>
      <c r="B429" s="187" t="s">
        <v>713</v>
      </c>
      <c r="C429" s="187">
        <v>61</v>
      </c>
      <c r="D429" s="187">
        <v>10</v>
      </c>
      <c r="E429" s="193">
        <v>43150</v>
      </c>
      <c r="F429" s="187"/>
      <c r="G429" s="187">
        <v>100452</v>
      </c>
      <c r="H429" s="187">
        <v>838</v>
      </c>
      <c r="I429" s="187">
        <v>38548</v>
      </c>
      <c r="J429" s="187">
        <v>10056</v>
      </c>
      <c r="K429" s="187">
        <v>48604</v>
      </c>
      <c r="L429" s="187">
        <v>51848</v>
      </c>
    </row>
    <row r="430" spans="1:12" ht="16.5" thickTop="1" thickBot="1">
      <c r="A430" s="192" t="s">
        <v>714</v>
      </c>
      <c r="B430" s="192"/>
      <c r="C430" s="192"/>
      <c r="D430" s="192"/>
      <c r="E430" s="192"/>
      <c r="F430" s="192"/>
      <c r="G430" s="192">
        <v>649732</v>
      </c>
      <c r="H430" s="192">
        <v>8002</v>
      </c>
      <c r="I430" s="192">
        <v>587828</v>
      </c>
      <c r="J430" s="192">
        <v>10056</v>
      </c>
      <c r="K430" s="192">
        <v>597884</v>
      </c>
      <c r="L430" s="192">
        <v>51848</v>
      </c>
    </row>
    <row r="431" spans="1:12" ht="15.75" thickTop="1">
      <c r="A431" s="187">
        <v>16271</v>
      </c>
      <c r="B431" s="187" t="s">
        <v>715</v>
      </c>
      <c r="C431" s="187">
        <v>62</v>
      </c>
      <c r="D431" s="187">
        <v>9</v>
      </c>
      <c r="E431" s="193">
        <v>31716</v>
      </c>
      <c r="F431" s="187"/>
      <c r="G431" s="187">
        <v>54789</v>
      </c>
      <c r="H431" s="187">
        <v>411</v>
      </c>
      <c r="I431" s="187">
        <v>54789</v>
      </c>
      <c r="J431" s="187">
        <v>0</v>
      </c>
      <c r="K431" s="187">
        <v>54789</v>
      </c>
      <c r="L431" s="187">
        <v>0</v>
      </c>
    </row>
    <row r="432" spans="1:12" ht="15.75" thickBot="1">
      <c r="A432" s="187">
        <v>16273</v>
      </c>
      <c r="B432" s="187" t="s">
        <v>716</v>
      </c>
      <c r="C432" s="187">
        <v>62</v>
      </c>
      <c r="D432" s="187">
        <v>8</v>
      </c>
      <c r="E432" s="193">
        <v>31926</v>
      </c>
      <c r="F432" s="187"/>
      <c r="G432" s="187">
        <v>23590</v>
      </c>
      <c r="H432" s="187">
        <v>158</v>
      </c>
      <c r="I432" s="187">
        <v>23590</v>
      </c>
      <c r="J432" s="187">
        <v>0</v>
      </c>
      <c r="K432" s="187">
        <v>23590</v>
      </c>
      <c r="L432" s="187">
        <v>0</v>
      </c>
    </row>
    <row r="433" spans="1:12" ht="16.5" thickTop="1" thickBot="1">
      <c r="A433" s="192" t="s">
        <v>717</v>
      </c>
      <c r="B433" s="192"/>
      <c r="C433" s="192"/>
      <c r="D433" s="192"/>
      <c r="E433" s="192"/>
      <c r="F433" s="192"/>
      <c r="G433" s="192">
        <v>78379</v>
      </c>
      <c r="H433" s="192">
        <v>569</v>
      </c>
      <c r="I433" s="192">
        <v>78379</v>
      </c>
      <c r="J433" s="192">
        <v>0</v>
      </c>
      <c r="K433" s="192">
        <v>78379</v>
      </c>
      <c r="L433" s="192">
        <v>0</v>
      </c>
    </row>
    <row r="434" spans="1:12" ht="15.75" thickTop="1">
      <c r="A434" s="187">
        <v>16414</v>
      </c>
      <c r="B434" s="187" t="s">
        <v>718</v>
      </c>
      <c r="C434" s="187">
        <v>63</v>
      </c>
      <c r="D434" s="187">
        <v>10</v>
      </c>
      <c r="E434" s="193">
        <v>38349</v>
      </c>
      <c r="F434" s="193">
        <v>44767</v>
      </c>
      <c r="G434" s="187">
        <v>5887000</v>
      </c>
      <c r="H434" s="187">
        <v>49059</v>
      </c>
      <c r="I434" s="187">
        <v>5887000</v>
      </c>
      <c r="J434" s="187">
        <v>0</v>
      </c>
      <c r="K434" s="187">
        <v>5887000</v>
      </c>
      <c r="L434" s="187">
        <v>0</v>
      </c>
    </row>
    <row r="435" spans="1:12" ht="15">
      <c r="A435" s="187">
        <v>16415</v>
      </c>
      <c r="B435" s="187" t="s">
        <v>719</v>
      </c>
      <c r="C435" s="187">
        <v>63</v>
      </c>
      <c r="D435" s="187">
        <v>10</v>
      </c>
      <c r="E435" s="193">
        <v>38349</v>
      </c>
      <c r="F435" s="187"/>
      <c r="G435" s="187">
        <v>5887000</v>
      </c>
      <c r="H435" s="187">
        <v>49059</v>
      </c>
      <c r="I435" s="187">
        <v>5887000</v>
      </c>
      <c r="J435" s="187">
        <v>0</v>
      </c>
      <c r="K435" s="187">
        <v>5887000</v>
      </c>
      <c r="L435" s="187">
        <v>0</v>
      </c>
    </row>
    <row r="436" spans="1:12" ht="15">
      <c r="A436" s="187">
        <v>16418</v>
      </c>
      <c r="B436" s="187" t="s">
        <v>720</v>
      </c>
      <c r="C436" s="187">
        <v>63</v>
      </c>
      <c r="D436" s="187">
        <v>10</v>
      </c>
      <c r="E436" s="193">
        <v>38686</v>
      </c>
      <c r="F436" s="187"/>
      <c r="G436" s="187">
        <v>2927500</v>
      </c>
      <c r="H436" s="187">
        <v>24396</v>
      </c>
      <c r="I436" s="187">
        <v>2927500</v>
      </c>
      <c r="J436" s="187">
        <v>0</v>
      </c>
      <c r="K436" s="187">
        <v>2927500</v>
      </c>
      <c r="L436" s="187">
        <v>0</v>
      </c>
    </row>
    <row r="437" spans="1:12" ht="15">
      <c r="A437" s="187">
        <v>16419</v>
      </c>
      <c r="B437" s="187" t="s">
        <v>721</v>
      </c>
      <c r="C437" s="187">
        <v>63</v>
      </c>
      <c r="D437" s="187">
        <v>10</v>
      </c>
      <c r="E437" s="193">
        <v>38702</v>
      </c>
      <c r="F437" s="187"/>
      <c r="G437" s="187">
        <v>2927500</v>
      </c>
      <c r="H437" s="187">
        <v>24396</v>
      </c>
      <c r="I437" s="187">
        <v>2927500</v>
      </c>
      <c r="J437" s="187">
        <v>0</v>
      </c>
      <c r="K437" s="187">
        <v>2927500</v>
      </c>
      <c r="L437" s="187">
        <v>0</v>
      </c>
    </row>
    <row r="438" spans="1:12" ht="15">
      <c r="A438" s="187">
        <v>16420</v>
      </c>
      <c r="B438" s="187" t="s">
        <v>722</v>
      </c>
      <c r="C438" s="187">
        <v>63</v>
      </c>
      <c r="D438" s="187">
        <v>10</v>
      </c>
      <c r="E438" s="193">
        <v>38982</v>
      </c>
      <c r="F438" s="187"/>
      <c r="G438" s="187">
        <v>3376000</v>
      </c>
      <c r="H438" s="187">
        <v>28134</v>
      </c>
      <c r="I438" s="187">
        <v>3376000</v>
      </c>
      <c r="J438" s="187">
        <v>0</v>
      </c>
      <c r="K438" s="187">
        <v>3376000</v>
      </c>
      <c r="L438" s="187">
        <v>0</v>
      </c>
    </row>
    <row r="439" spans="1:12" ht="15">
      <c r="A439" s="187">
        <v>16455</v>
      </c>
      <c r="B439" s="187" t="s">
        <v>723</v>
      </c>
      <c r="C439" s="187">
        <v>63</v>
      </c>
      <c r="D439" s="187">
        <v>10</v>
      </c>
      <c r="E439" s="193">
        <v>41032</v>
      </c>
      <c r="F439" s="187"/>
      <c r="G439" s="187">
        <v>4290800</v>
      </c>
      <c r="H439" s="187">
        <v>35757</v>
      </c>
      <c r="I439" s="187">
        <v>4112055</v>
      </c>
      <c r="J439" s="187">
        <v>178745</v>
      </c>
      <c r="K439" s="187">
        <v>4290800</v>
      </c>
      <c r="L439" s="187">
        <v>0</v>
      </c>
    </row>
    <row r="440" spans="1:12" ht="15">
      <c r="A440" s="187">
        <v>16456</v>
      </c>
      <c r="B440" s="187" t="s">
        <v>724</v>
      </c>
      <c r="C440" s="187">
        <v>63</v>
      </c>
      <c r="D440" s="187">
        <v>10</v>
      </c>
      <c r="E440" s="193">
        <v>41032</v>
      </c>
      <c r="F440" s="187"/>
      <c r="G440" s="187">
        <v>4290800</v>
      </c>
      <c r="H440" s="187">
        <v>35757</v>
      </c>
      <c r="I440" s="187">
        <v>4112055</v>
      </c>
      <c r="J440" s="187">
        <v>178745</v>
      </c>
      <c r="K440" s="187">
        <v>4290800</v>
      </c>
      <c r="L440" s="187">
        <v>0</v>
      </c>
    </row>
    <row r="441" spans="1:12" ht="15">
      <c r="A441" s="187">
        <v>16481</v>
      </c>
      <c r="B441" s="187" t="s">
        <v>725</v>
      </c>
      <c r="C441" s="187">
        <v>63</v>
      </c>
      <c r="D441" s="187">
        <v>33.299999999999997</v>
      </c>
      <c r="E441" s="193">
        <v>42446</v>
      </c>
      <c r="F441" s="187"/>
      <c r="G441" s="187">
        <v>265000</v>
      </c>
      <c r="H441" s="187">
        <v>7354</v>
      </c>
      <c r="I441" s="187">
        <v>265000</v>
      </c>
      <c r="J441" s="187">
        <v>0</v>
      </c>
      <c r="K441" s="187">
        <v>265000</v>
      </c>
      <c r="L441" s="187">
        <v>0</v>
      </c>
    </row>
    <row r="442" spans="1:12" ht="15.75" thickBot="1">
      <c r="A442" s="305">
        <v>16501</v>
      </c>
      <c r="B442" s="305" t="s">
        <v>726</v>
      </c>
      <c r="C442" s="305">
        <v>63</v>
      </c>
      <c r="D442" s="305">
        <v>0</v>
      </c>
      <c r="E442" s="306">
        <v>43763</v>
      </c>
      <c r="F442" s="305"/>
      <c r="G442" s="305">
        <v>4202140</v>
      </c>
      <c r="H442" s="305">
        <v>35018</v>
      </c>
      <c r="I442" s="305">
        <v>910468</v>
      </c>
      <c r="J442" s="305">
        <v>420216</v>
      </c>
      <c r="K442" s="305">
        <v>1330684</v>
      </c>
      <c r="L442" s="305">
        <v>2871456</v>
      </c>
    </row>
    <row r="443" spans="1:12" ht="16.5" thickTop="1" thickBot="1">
      <c r="A443" s="192" t="s">
        <v>727</v>
      </c>
      <c r="B443" s="192"/>
      <c r="C443" s="192"/>
      <c r="D443" s="192"/>
      <c r="E443" s="192"/>
      <c r="F443" s="192"/>
      <c r="G443" s="192">
        <v>34053740</v>
      </c>
      <c r="H443" s="192">
        <v>288930</v>
      </c>
      <c r="I443" s="192">
        <v>30404578</v>
      </c>
      <c r="J443" s="192">
        <v>777706</v>
      </c>
      <c r="K443" s="192">
        <v>31182284</v>
      </c>
      <c r="L443" s="192">
        <v>2871456</v>
      </c>
    </row>
    <row r="444" spans="1:12" ht="15.75" thickTop="1">
      <c r="A444" s="187">
        <v>16485</v>
      </c>
      <c r="B444" s="187" t="s">
        <v>728</v>
      </c>
      <c r="C444" s="187">
        <v>64</v>
      </c>
      <c r="D444" s="187">
        <v>20</v>
      </c>
      <c r="E444" s="193">
        <v>42726</v>
      </c>
      <c r="F444" s="187"/>
      <c r="G444" s="187">
        <v>451179</v>
      </c>
      <c r="H444" s="187">
        <v>7520</v>
      </c>
      <c r="I444" s="187">
        <v>451179</v>
      </c>
      <c r="J444" s="187">
        <v>0</v>
      </c>
      <c r="K444" s="187">
        <v>451179</v>
      </c>
      <c r="L444" s="187">
        <v>0</v>
      </c>
    </row>
    <row r="445" spans="1:12" ht="15.75" thickBot="1">
      <c r="A445" s="305">
        <v>16486</v>
      </c>
      <c r="B445" s="305" t="s">
        <v>729</v>
      </c>
      <c r="C445" s="305">
        <v>64</v>
      </c>
      <c r="D445" s="305">
        <v>20</v>
      </c>
      <c r="E445" s="306">
        <v>42726</v>
      </c>
      <c r="F445" s="305"/>
      <c r="G445" s="305">
        <v>406351</v>
      </c>
      <c r="H445" s="305">
        <v>6773</v>
      </c>
      <c r="I445" s="305">
        <v>406351</v>
      </c>
      <c r="J445" s="305">
        <v>0</v>
      </c>
      <c r="K445" s="305">
        <v>406351</v>
      </c>
      <c r="L445" s="305">
        <v>0</v>
      </c>
    </row>
    <row r="446" spans="1:12" ht="16.5" thickTop="1" thickBot="1">
      <c r="A446" s="192" t="s">
        <v>730</v>
      </c>
      <c r="B446" s="192"/>
      <c r="C446" s="192"/>
      <c r="D446" s="192"/>
      <c r="E446" s="192"/>
      <c r="F446" s="192"/>
      <c r="G446" s="192">
        <v>857530</v>
      </c>
      <c r="H446" s="192">
        <v>14293</v>
      </c>
      <c r="I446" s="192">
        <v>857530</v>
      </c>
      <c r="J446" s="192">
        <v>0</v>
      </c>
      <c r="K446" s="192">
        <v>857530</v>
      </c>
      <c r="L446" s="192">
        <v>0</v>
      </c>
    </row>
    <row r="447" spans="1:12" ht="15.75" thickTop="1">
      <c r="A447" s="187">
        <v>16484</v>
      </c>
      <c r="B447" s="187" t="s">
        <v>731</v>
      </c>
      <c r="C447" s="187">
        <v>65</v>
      </c>
      <c r="D447" s="187">
        <v>20</v>
      </c>
      <c r="E447" s="193">
        <v>42726</v>
      </c>
      <c r="F447" s="187"/>
      <c r="G447" s="187">
        <v>413187</v>
      </c>
      <c r="H447" s="187">
        <v>6887</v>
      </c>
      <c r="I447" s="187">
        <v>413187</v>
      </c>
      <c r="J447" s="187">
        <v>0</v>
      </c>
      <c r="K447" s="187">
        <v>413187</v>
      </c>
      <c r="L447" s="187">
        <v>0</v>
      </c>
    </row>
    <row r="448" spans="1:12" ht="15">
      <c r="A448" s="187">
        <v>16498</v>
      </c>
      <c r="B448" s="187" t="s">
        <v>732</v>
      </c>
      <c r="C448" s="187">
        <v>65</v>
      </c>
      <c r="D448" s="187">
        <v>0</v>
      </c>
      <c r="E448" s="193">
        <v>43585</v>
      </c>
      <c r="F448" s="187"/>
      <c r="G448" s="187">
        <v>1000</v>
      </c>
      <c r="H448" s="187">
        <v>84</v>
      </c>
      <c r="I448" s="187">
        <v>1000</v>
      </c>
      <c r="J448" s="187">
        <v>0</v>
      </c>
      <c r="K448" s="187">
        <v>1000</v>
      </c>
      <c r="L448" s="187">
        <v>0</v>
      </c>
    </row>
    <row r="449" spans="1:12" ht="15.75" thickBot="1">
      <c r="A449" s="187">
        <v>16499</v>
      </c>
      <c r="B449" s="187" t="s">
        <v>733</v>
      </c>
      <c r="C449" s="187">
        <v>65</v>
      </c>
      <c r="D449" s="187">
        <v>0</v>
      </c>
      <c r="E449" s="193">
        <v>43619</v>
      </c>
      <c r="F449" s="187"/>
      <c r="G449" s="187">
        <v>447487.6</v>
      </c>
      <c r="H449" s="187">
        <v>7459</v>
      </c>
      <c r="I449" s="187">
        <v>223770</v>
      </c>
      <c r="J449" s="187">
        <v>89508</v>
      </c>
      <c r="K449" s="187">
        <v>313278</v>
      </c>
      <c r="L449" s="187">
        <v>134209.59999999998</v>
      </c>
    </row>
    <row r="450" spans="1:12" ht="16.5" thickTop="1" thickBot="1">
      <c r="A450" s="192" t="s">
        <v>734</v>
      </c>
      <c r="B450" s="192"/>
      <c r="C450" s="192"/>
      <c r="D450" s="192"/>
      <c r="E450" s="192"/>
      <c r="F450" s="192"/>
      <c r="G450" s="192">
        <v>861674.6</v>
      </c>
      <c r="H450" s="192">
        <v>14430</v>
      </c>
      <c r="I450" s="192">
        <v>637957</v>
      </c>
      <c r="J450" s="192">
        <v>89508</v>
      </c>
      <c r="K450" s="192">
        <v>727465</v>
      </c>
      <c r="L450" s="192">
        <v>134209.59999999998</v>
      </c>
    </row>
    <row r="451" spans="1:12" ht="15.75" thickTop="1">
      <c r="A451" s="187">
        <v>16397</v>
      </c>
      <c r="B451" s="187" t="s">
        <v>735</v>
      </c>
      <c r="C451" s="187">
        <v>67</v>
      </c>
      <c r="D451" s="187">
        <v>12</v>
      </c>
      <c r="E451" s="193">
        <v>37195</v>
      </c>
      <c r="F451" s="187"/>
      <c r="G451" s="187">
        <v>1904000</v>
      </c>
      <c r="H451" s="187">
        <v>19040</v>
      </c>
      <c r="I451" s="187">
        <v>1904000</v>
      </c>
      <c r="J451" s="187">
        <v>0</v>
      </c>
      <c r="K451" s="187">
        <v>1904000</v>
      </c>
      <c r="L451" s="187">
        <v>0</v>
      </c>
    </row>
    <row r="452" spans="1:12" ht="15.75" thickBot="1">
      <c r="A452" s="187">
        <v>16433</v>
      </c>
      <c r="B452" s="187" t="s">
        <v>736</v>
      </c>
      <c r="C452" s="187">
        <v>67</v>
      </c>
      <c r="D452" s="187">
        <v>12</v>
      </c>
      <c r="E452" s="193">
        <v>39812</v>
      </c>
      <c r="F452" s="187"/>
      <c r="G452" s="187">
        <v>3250800</v>
      </c>
      <c r="H452" s="187">
        <v>32508</v>
      </c>
      <c r="I452" s="187">
        <v>3250800</v>
      </c>
      <c r="J452" s="187">
        <v>0</v>
      </c>
      <c r="K452" s="187">
        <v>3250800</v>
      </c>
      <c r="L452" s="187">
        <v>0</v>
      </c>
    </row>
    <row r="453" spans="1:12" ht="16.5" thickTop="1" thickBot="1">
      <c r="A453" s="192" t="s">
        <v>737</v>
      </c>
      <c r="B453" s="192"/>
      <c r="C453" s="192"/>
      <c r="D453" s="192"/>
      <c r="E453" s="192"/>
      <c r="F453" s="192"/>
      <c r="G453" s="192">
        <v>5154800</v>
      </c>
      <c r="H453" s="192">
        <v>51548</v>
      </c>
      <c r="I453" s="192">
        <v>5154800</v>
      </c>
      <c r="J453" s="192">
        <v>0</v>
      </c>
      <c r="K453" s="192">
        <v>5154800</v>
      </c>
      <c r="L453" s="192">
        <v>0</v>
      </c>
    </row>
    <row r="454" spans="1:12" ht="15.75" thickTop="1">
      <c r="A454" s="187">
        <v>16513</v>
      </c>
      <c r="B454" s="187" t="s">
        <v>738</v>
      </c>
      <c r="C454" s="187">
        <v>71</v>
      </c>
      <c r="D454" s="187">
        <v>14</v>
      </c>
      <c r="E454" s="193">
        <v>44474</v>
      </c>
      <c r="F454" s="187"/>
      <c r="G454" s="187">
        <v>419439.32999999996</v>
      </c>
      <c r="H454" s="187">
        <v>4894</v>
      </c>
      <c r="I454" s="187">
        <v>9788</v>
      </c>
      <c r="J454" s="187">
        <v>58728</v>
      </c>
      <c r="K454" s="187">
        <v>68516</v>
      </c>
      <c r="L454" s="187">
        <v>350923.32999999996</v>
      </c>
    </row>
    <row r="455" spans="1:12" ht="15.75" thickBot="1">
      <c r="A455" s="187" t="s">
        <v>739</v>
      </c>
      <c r="B455" s="187" t="s">
        <v>740</v>
      </c>
      <c r="C455" s="187">
        <v>71</v>
      </c>
      <c r="D455" s="187">
        <v>14</v>
      </c>
      <c r="E455" s="193">
        <v>37536</v>
      </c>
      <c r="F455" s="187"/>
      <c r="G455" s="187">
        <v>77400</v>
      </c>
      <c r="H455" s="187">
        <v>903</v>
      </c>
      <c r="I455" s="187">
        <v>77400</v>
      </c>
      <c r="J455" s="187">
        <v>0</v>
      </c>
      <c r="K455" s="187">
        <v>77400</v>
      </c>
      <c r="L455" s="187">
        <v>0</v>
      </c>
    </row>
    <row r="456" spans="1:12" ht="16.5" thickTop="1" thickBot="1">
      <c r="A456" s="192" t="s">
        <v>741</v>
      </c>
      <c r="B456" s="192"/>
      <c r="C456" s="192"/>
      <c r="D456" s="192"/>
      <c r="E456" s="192"/>
      <c r="F456" s="192"/>
      <c r="G456" s="192">
        <v>496839.32999999996</v>
      </c>
      <c r="H456" s="192">
        <v>5797</v>
      </c>
      <c r="I456" s="192">
        <v>87188</v>
      </c>
      <c r="J456" s="192">
        <v>58728</v>
      </c>
      <c r="K456" s="192">
        <v>145916</v>
      </c>
      <c r="L456" s="192">
        <v>350923.32999999996</v>
      </c>
    </row>
    <row r="457" spans="1:12" ht="15.75" thickTop="1">
      <c r="A457" s="187" t="s">
        <v>742</v>
      </c>
      <c r="B457" s="187" t="s">
        <v>743</v>
      </c>
      <c r="C457" s="187">
        <v>81</v>
      </c>
      <c r="D457" s="187">
        <v>3.3299999999999996</v>
      </c>
      <c r="E457" s="193">
        <v>42437</v>
      </c>
      <c r="F457" s="187"/>
      <c r="G457" s="187">
        <v>1430691</v>
      </c>
      <c r="H457" s="187">
        <v>3971</v>
      </c>
      <c r="I457" s="187">
        <v>273631</v>
      </c>
      <c r="J457" s="187">
        <v>47652</v>
      </c>
      <c r="K457" s="187">
        <v>321283</v>
      </c>
      <c r="L457" s="187">
        <v>1109408</v>
      </c>
    </row>
    <row r="458" spans="1:12" ht="15">
      <c r="A458" s="187" t="s">
        <v>744</v>
      </c>
      <c r="B458" s="187" t="s">
        <v>745</v>
      </c>
      <c r="C458" s="187">
        <v>81</v>
      </c>
      <c r="D458" s="187">
        <v>5</v>
      </c>
      <c r="E458" s="193">
        <v>42437</v>
      </c>
      <c r="F458" s="187"/>
      <c r="G458" s="187">
        <v>215223</v>
      </c>
      <c r="H458" s="187">
        <v>897</v>
      </c>
      <c r="I458" s="187">
        <v>61822</v>
      </c>
      <c r="J458" s="187">
        <v>10764</v>
      </c>
      <c r="K458" s="187">
        <v>72586</v>
      </c>
      <c r="L458" s="187">
        <v>142637</v>
      </c>
    </row>
    <row r="459" spans="1:12" ht="15">
      <c r="A459" s="187" t="s">
        <v>746</v>
      </c>
      <c r="B459" s="187" t="s">
        <v>747</v>
      </c>
      <c r="C459" s="187">
        <v>81</v>
      </c>
      <c r="D459" s="187">
        <v>3.3299999999999996</v>
      </c>
      <c r="E459" s="193">
        <v>42437</v>
      </c>
      <c r="F459" s="187"/>
      <c r="G459" s="187">
        <v>980810</v>
      </c>
      <c r="H459" s="187">
        <v>2722</v>
      </c>
      <c r="I459" s="187">
        <v>187598</v>
      </c>
      <c r="J459" s="187">
        <v>32664</v>
      </c>
      <c r="K459" s="187">
        <v>220262</v>
      </c>
      <c r="L459" s="187">
        <v>760548</v>
      </c>
    </row>
    <row r="460" spans="1:12" ht="15">
      <c r="A460" s="187" t="s">
        <v>748</v>
      </c>
      <c r="B460" s="187" t="s">
        <v>749</v>
      </c>
      <c r="C460" s="187">
        <v>81</v>
      </c>
      <c r="D460" s="187">
        <v>5</v>
      </c>
      <c r="E460" s="193">
        <v>42437</v>
      </c>
      <c r="F460" s="187"/>
      <c r="G460" s="187">
        <v>102628</v>
      </c>
      <c r="H460" s="187">
        <v>428</v>
      </c>
      <c r="I460" s="187">
        <v>29493</v>
      </c>
      <c r="J460" s="187">
        <v>5136</v>
      </c>
      <c r="K460" s="187">
        <v>34629</v>
      </c>
      <c r="L460" s="187">
        <v>67999</v>
      </c>
    </row>
    <row r="461" spans="1:12" ht="15">
      <c r="A461" s="187" t="s">
        <v>750</v>
      </c>
      <c r="B461" s="187" t="s">
        <v>751</v>
      </c>
      <c r="C461" s="187">
        <v>81</v>
      </c>
      <c r="D461" s="187">
        <v>5</v>
      </c>
      <c r="E461" s="193">
        <v>42437</v>
      </c>
      <c r="F461" s="187"/>
      <c r="G461" s="187">
        <v>177860</v>
      </c>
      <c r="H461" s="187">
        <v>742</v>
      </c>
      <c r="I461" s="187">
        <v>51120</v>
      </c>
      <c r="J461" s="187">
        <v>8904</v>
      </c>
      <c r="K461" s="187">
        <v>60024</v>
      </c>
      <c r="L461" s="187">
        <v>117836</v>
      </c>
    </row>
    <row r="462" spans="1:12" ht="15.75" thickBot="1">
      <c r="A462" s="187" t="s">
        <v>752</v>
      </c>
      <c r="B462" s="187" t="s">
        <v>753</v>
      </c>
      <c r="C462" s="187">
        <v>81</v>
      </c>
      <c r="D462" s="187">
        <v>3.3299999999999996</v>
      </c>
      <c r="E462" s="193">
        <v>42437</v>
      </c>
      <c r="F462" s="187"/>
      <c r="G462" s="187">
        <v>224903</v>
      </c>
      <c r="H462" s="187">
        <v>625</v>
      </c>
      <c r="I462" s="187">
        <v>43070</v>
      </c>
      <c r="J462" s="187">
        <v>7500</v>
      </c>
      <c r="K462" s="187">
        <v>50570</v>
      </c>
      <c r="L462" s="187">
        <v>174333</v>
      </c>
    </row>
    <row r="463" spans="1:12" ht="16.5" thickTop="1" thickBot="1">
      <c r="A463" s="192" t="s">
        <v>754</v>
      </c>
      <c r="B463" s="192"/>
      <c r="C463" s="192"/>
      <c r="D463" s="192"/>
      <c r="E463" s="192"/>
      <c r="F463" s="192"/>
      <c r="G463" s="192">
        <v>3132115</v>
      </c>
      <c r="H463" s="192">
        <v>9385</v>
      </c>
      <c r="I463" s="192">
        <v>646734</v>
      </c>
      <c r="J463" s="192">
        <v>112620</v>
      </c>
      <c r="K463" s="192">
        <v>759354</v>
      </c>
      <c r="L463" s="192">
        <v>2372761</v>
      </c>
    </row>
    <row r="464" spans="1:12" ht="16.5" thickTop="1" thickBot="1">
      <c r="A464" s="187" t="s">
        <v>755</v>
      </c>
      <c r="B464" s="187" t="s">
        <v>756</v>
      </c>
      <c r="C464" s="187">
        <v>82</v>
      </c>
      <c r="D464" s="187">
        <v>3.3299999999999996</v>
      </c>
      <c r="E464" s="193">
        <v>42437</v>
      </c>
      <c r="F464" s="187"/>
      <c r="G464" s="187">
        <v>118537</v>
      </c>
      <c r="H464" s="187">
        <v>329</v>
      </c>
      <c r="I464" s="187">
        <v>22685</v>
      </c>
      <c r="J464" s="187">
        <v>3948</v>
      </c>
      <c r="K464" s="187">
        <v>26633</v>
      </c>
      <c r="L464" s="187">
        <v>91904</v>
      </c>
    </row>
    <row r="465" spans="1:12" ht="16.5" thickTop="1" thickBot="1">
      <c r="A465" s="192" t="s">
        <v>757</v>
      </c>
      <c r="B465" s="192"/>
      <c r="C465" s="192"/>
      <c r="D465" s="192"/>
      <c r="E465" s="192"/>
      <c r="F465" s="192"/>
      <c r="G465" s="192">
        <v>118537</v>
      </c>
      <c r="H465" s="192">
        <v>329</v>
      </c>
      <c r="I465" s="192">
        <v>22685</v>
      </c>
      <c r="J465" s="192">
        <v>3948</v>
      </c>
      <c r="K465" s="192">
        <v>26633</v>
      </c>
      <c r="L465" s="192">
        <v>91904</v>
      </c>
    </row>
    <row r="466" spans="1:12" ht="15.75" thickTop="1">
      <c r="A466" s="187">
        <v>12103</v>
      </c>
      <c r="B466" s="187" t="s">
        <v>758</v>
      </c>
      <c r="C466" s="187">
        <v>83</v>
      </c>
      <c r="D466" s="187">
        <v>3.3299999999999996</v>
      </c>
      <c r="E466" s="193">
        <v>42437</v>
      </c>
      <c r="F466" s="187"/>
      <c r="G466" s="187">
        <v>111868</v>
      </c>
      <c r="H466" s="187">
        <v>311</v>
      </c>
      <c r="I466" s="187">
        <v>21397</v>
      </c>
      <c r="J466" s="187">
        <v>3732</v>
      </c>
      <c r="K466" s="187">
        <v>25129</v>
      </c>
      <c r="L466" s="187">
        <v>86739</v>
      </c>
    </row>
    <row r="467" spans="1:12" ht="15">
      <c r="A467" s="187">
        <v>12104</v>
      </c>
      <c r="B467" s="187" t="s">
        <v>759</v>
      </c>
      <c r="C467" s="187">
        <v>83</v>
      </c>
      <c r="D467" s="187">
        <v>3.3299999999999996</v>
      </c>
      <c r="E467" s="193">
        <v>42437</v>
      </c>
      <c r="F467" s="187"/>
      <c r="G467" s="187">
        <v>144283</v>
      </c>
      <c r="H467" s="187">
        <v>401</v>
      </c>
      <c r="I467" s="187">
        <v>27584</v>
      </c>
      <c r="J467" s="187">
        <v>4812</v>
      </c>
      <c r="K467" s="187">
        <v>32396</v>
      </c>
      <c r="L467" s="187">
        <v>111887</v>
      </c>
    </row>
    <row r="468" spans="1:12" ht="15.75" thickBot="1">
      <c r="A468" s="187">
        <v>12105</v>
      </c>
      <c r="B468" s="187" t="s">
        <v>760</v>
      </c>
      <c r="C468" s="187">
        <v>83</v>
      </c>
      <c r="D468" s="187">
        <v>3.3299999999999996</v>
      </c>
      <c r="E468" s="193">
        <v>42437</v>
      </c>
      <c r="F468" s="187"/>
      <c r="G468" s="187">
        <v>198091</v>
      </c>
      <c r="H468" s="187">
        <v>550</v>
      </c>
      <c r="I468" s="187">
        <v>37857</v>
      </c>
      <c r="J468" s="187">
        <v>6600</v>
      </c>
      <c r="K468" s="187">
        <v>44457</v>
      </c>
      <c r="L468" s="187">
        <v>153634</v>
      </c>
    </row>
    <row r="469" spans="1:12" ht="16.5" thickTop="1" thickBot="1">
      <c r="A469" s="192" t="s">
        <v>761</v>
      </c>
      <c r="B469" s="192"/>
      <c r="C469" s="192"/>
      <c r="D469" s="192"/>
      <c r="E469" s="192"/>
      <c r="F469" s="192"/>
      <c r="G469" s="192">
        <v>454242</v>
      </c>
      <c r="H469" s="192">
        <v>1262</v>
      </c>
      <c r="I469" s="192">
        <v>86838</v>
      </c>
      <c r="J469" s="192">
        <v>15144</v>
      </c>
      <c r="K469" s="192">
        <v>101982</v>
      </c>
      <c r="L469" s="192">
        <v>352260</v>
      </c>
    </row>
    <row r="470" spans="1:12" ht="15.75" thickTop="1">
      <c r="A470" s="187">
        <v>14101</v>
      </c>
      <c r="B470" s="187" t="s">
        <v>762</v>
      </c>
      <c r="C470" s="187">
        <v>84</v>
      </c>
      <c r="D470" s="187">
        <v>10</v>
      </c>
      <c r="E470" s="193">
        <v>42437</v>
      </c>
      <c r="F470" s="187"/>
      <c r="G470" s="187">
        <v>491379</v>
      </c>
      <c r="H470" s="187">
        <v>4095</v>
      </c>
      <c r="I470" s="187">
        <v>281765</v>
      </c>
      <c r="J470" s="187">
        <v>49140</v>
      </c>
      <c r="K470" s="187">
        <v>330905</v>
      </c>
      <c r="L470" s="187">
        <v>160474</v>
      </c>
    </row>
    <row r="471" spans="1:12" ht="15">
      <c r="A471" s="187">
        <v>14102</v>
      </c>
      <c r="B471" s="187" t="s">
        <v>762</v>
      </c>
      <c r="C471" s="187">
        <v>84</v>
      </c>
      <c r="D471" s="187">
        <v>10</v>
      </c>
      <c r="E471" s="193">
        <v>42437</v>
      </c>
      <c r="F471" s="187"/>
      <c r="G471" s="187">
        <v>491379</v>
      </c>
      <c r="H471" s="187">
        <v>4095</v>
      </c>
      <c r="I471" s="187">
        <v>281765</v>
      </c>
      <c r="J471" s="187">
        <v>49140</v>
      </c>
      <c r="K471" s="187">
        <v>330905</v>
      </c>
      <c r="L471" s="187">
        <v>160474</v>
      </c>
    </row>
    <row r="472" spans="1:12" ht="15">
      <c r="A472" s="187">
        <v>14103</v>
      </c>
      <c r="B472" s="187" t="s">
        <v>763</v>
      </c>
      <c r="C472" s="187">
        <v>84</v>
      </c>
      <c r="D472" s="187">
        <v>20</v>
      </c>
      <c r="E472" s="193">
        <v>42437</v>
      </c>
      <c r="F472" s="187"/>
      <c r="G472" s="187">
        <v>74756</v>
      </c>
      <c r="H472" s="187">
        <v>1246</v>
      </c>
      <c r="I472" s="187">
        <v>74756</v>
      </c>
      <c r="J472" s="187">
        <v>0</v>
      </c>
      <c r="K472" s="187">
        <v>74756</v>
      </c>
      <c r="L472" s="187">
        <v>0</v>
      </c>
    </row>
    <row r="473" spans="1:12" ht="15">
      <c r="A473" s="187">
        <v>14104</v>
      </c>
      <c r="B473" s="187" t="s">
        <v>764</v>
      </c>
      <c r="C473" s="187">
        <v>84</v>
      </c>
      <c r="D473" s="187">
        <v>20</v>
      </c>
      <c r="E473" s="193">
        <v>42437</v>
      </c>
      <c r="F473" s="187"/>
      <c r="G473" s="187">
        <v>63863</v>
      </c>
      <c r="H473" s="187">
        <v>1065</v>
      </c>
      <c r="I473" s="187">
        <v>63863</v>
      </c>
      <c r="J473" s="187">
        <v>0</v>
      </c>
      <c r="K473" s="187">
        <v>63863</v>
      </c>
      <c r="L473" s="187">
        <v>0</v>
      </c>
    </row>
    <row r="474" spans="1:12" ht="15">
      <c r="A474" s="187">
        <v>14105</v>
      </c>
      <c r="B474" s="187" t="s">
        <v>765</v>
      </c>
      <c r="C474" s="187">
        <v>84</v>
      </c>
      <c r="D474" s="187">
        <v>20</v>
      </c>
      <c r="E474" s="193">
        <v>42437</v>
      </c>
      <c r="F474" s="187"/>
      <c r="G474" s="187">
        <v>39613</v>
      </c>
      <c r="H474" s="187">
        <v>661</v>
      </c>
      <c r="I474" s="187">
        <v>39613</v>
      </c>
      <c r="J474" s="187">
        <v>0</v>
      </c>
      <c r="K474" s="187">
        <v>39613</v>
      </c>
      <c r="L474" s="187">
        <v>0</v>
      </c>
    </row>
    <row r="475" spans="1:12" ht="15">
      <c r="A475" s="187">
        <v>14106</v>
      </c>
      <c r="B475" s="187" t="s">
        <v>766</v>
      </c>
      <c r="C475" s="187">
        <v>84</v>
      </c>
      <c r="D475" s="187">
        <v>20</v>
      </c>
      <c r="E475" s="193">
        <v>42437</v>
      </c>
      <c r="F475" s="187"/>
      <c r="G475" s="187">
        <v>29723</v>
      </c>
      <c r="H475" s="187">
        <v>496</v>
      </c>
      <c r="I475" s="187">
        <v>29723</v>
      </c>
      <c r="J475" s="187">
        <v>0</v>
      </c>
      <c r="K475" s="187">
        <v>29723</v>
      </c>
      <c r="L475" s="187">
        <v>0</v>
      </c>
    </row>
    <row r="476" spans="1:12" ht="15">
      <c r="A476" s="187">
        <v>14107</v>
      </c>
      <c r="B476" s="187" t="s">
        <v>766</v>
      </c>
      <c r="C476" s="187">
        <v>84</v>
      </c>
      <c r="D476" s="187">
        <v>20</v>
      </c>
      <c r="E476" s="193">
        <v>42437</v>
      </c>
      <c r="F476" s="187"/>
      <c r="G476" s="187">
        <v>29723</v>
      </c>
      <c r="H476" s="187">
        <v>496</v>
      </c>
      <c r="I476" s="187">
        <v>29723</v>
      </c>
      <c r="J476" s="187">
        <v>0</v>
      </c>
      <c r="K476" s="187">
        <v>29723</v>
      </c>
      <c r="L476" s="187">
        <v>0</v>
      </c>
    </row>
    <row r="477" spans="1:12" ht="15">
      <c r="A477" s="187">
        <v>14108</v>
      </c>
      <c r="B477" s="187" t="s">
        <v>767</v>
      </c>
      <c r="C477" s="187">
        <v>84</v>
      </c>
      <c r="D477" s="187">
        <v>20</v>
      </c>
      <c r="E477" s="193">
        <v>42437</v>
      </c>
      <c r="F477" s="187"/>
      <c r="G477" s="187">
        <v>29723</v>
      </c>
      <c r="H477" s="187">
        <v>496</v>
      </c>
      <c r="I477" s="187">
        <v>29723</v>
      </c>
      <c r="J477" s="187">
        <v>0</v>
      </c>
      <c r="K477" s="187">
        <v>29723</v>
      </c>
      <c r="L477" s="187">
        <v>0</v>
      </c>
    </row>
    <row r="478" spans="1:12" ht="15">
      <c r="A478" s="187">
        <v>14109</v>
      </c>
      <c r="B478" s="187" t="s">
        <v>766</v>
      </c>
      <c r="C478" s="187">
        <v>84</v>
      </c>
      <c r="D478" s="187">
        <v>20</v>
      </c>
      <c r="E478" s="193">
        <v>42437</v>
      </c>
      <c r="F478" s="187"/>
      <c r="G478" s="187">
        <v>29723</v>
      </c>
      <c r="H478" s="187">
        <v>496</v>
      </c>
      <c r="I478" s="187">
        <v>29723</v>
      </c>
      <c r="J478" s="187">
        <v>0</v>
      </c>
      <c r="K478" s="187">
        <v>29723</v>
      </c>
      <c r="L478" s="187">
        <v>0</v>
      </c>
    </row>
    <row r="479" spans="1:12" ht="15.75" thickBot="1">
      <c r="A479" s="187">
        <v>14110</v>
      </c>
      <c r="B479" s="187" t="s">
        <v>768</v>
      </c>
      <c r="C479" s="187">
        <v>84</v>
      </c>
      <c r="D479" s="187">
        <v>33.299999999999997</v>
      </c>
      <c r="E479" s="193">
        <v>42437</v>
      </c>
      <c r="F479" s="187"/>
      <c r="G479" s="187">
        <v>110070</v>
      </c>
      <c r="H479" s="187">
        <v>3055</v>
      </c>
      <c r="I479" s="187">
        <v>110070</v>
      </c>
      <c r="J479" s="187">
        <v>0</v>
      </c>
      <c r="K479" s="187">
        <v>110070</v>
      </c>
      <c r="L479" s="187">
        <v>0</v>
      </c>
    </row>
    <row r="480" spans="1:12" ht="16.5" thickTop="1" thickBot="1">
      <c r="A480" s="192" t="s">
        <v>769</v>
      </c>
      <c r="B480" s="192"/>
      <c r="C480" s="192"/>
      <c r="D480" s="192"/>
      <c r="E480" s="192"/>
      <c r="F480" s="192"/>
      <c r="G480" s="192">
        <v>1389952</v>
      </c>
      <c r="H480" s="192">
        <v>16201</v>
      </c>
      <c r="I480" s="192">
        <v>970724</v>
      </c>
      <c r="J480" s="192">
        <v>98280</v>
      </c>
      <c r="K480" s="192">
        <v>1069004</v>
      </c>
      <c r="L480" s="192">
        <v>320948</v>
      </c>
    </row>
    <row r="481" spans="1:12" ht="16.5" thickTop="1" thickBot="1">
      <c r="A481" s="187">
        <v>12102</v>
      </c>
      <c r="B481" s="187" t="s">
        <v>770</v>
      </c>
      <c r="C481" s="187">
        <v>85</v>
      </c>
      <c r="D481" s="187">
        <v>20</v>
      </c>
      <c r="E481" s="193">
        <v>42437</v>
      </c>
      <c r="F481" s="187"/>
      <c r="G481" s="187">
        <v>35627</v>
      </c>
      <c r="H481" s="187">
        <v>594</v>
      </c>
      <c r="I481" s="187">
        <v>35627</v>
      </c>
      <c r="J481" s="187">
        <v>0</v>
      </c>
      <c r="K481" s="187">
        <v>35627</v>
      </c>
      <c r="L481" s="187">
        <v>0</v>
      </c>
    </row>
    <row r="482" spans="1:12" ht="16.5" thickTop="1" thickBot="1">
      <c r="A482" s="192" t="s">
        <v>771</v>
      </c>
      <c r="B482" s="192"/>
      <c r="C482" s="192"/>
      <c r="D482" s="192"/>
      <c r="E482" s="192"/>
      <c r="F482" s="192"/>
      <c r="G482" s="192">
        <v>35627</v>
      </c>
      <c r="H482" s="192">
        <v>594</v>
      </c>
      <c r="I482" s="192">
        <v>35627</v>
      </c>
      <c r="J482" s="192">
        <v>0</v>
      </c>
      <c r="K482" s="192">
        <v>35627</v>
      </c>
      <c r="L482" s="192">
        <v>0</v>
      </c>
    </row>
    <row r="483" spans="1:12" ht="16.5" thickTop="1" thickBot="1">
      <c r="A483" s="190" t="s">
        <v>159</v>
      </c>
      <c r="B483" s="190"/>
      <c r="C483" s="190"/>
      <c r="D483" s="190"/>
      <c r="E483" s="190"/>
      <c r="F483" s="190"/>
      <c r="G483" s="309">
        <v>394125499.95000005</v>
      </c>
      <c r="H483" s="309">
        <v>2401373</v>
      </c>
      <c r="I483" s="309">
        <v>228373313.75</v>
      </c>
      <c r="J483" s="309">
        <v>20082447.390000001</v>
      </c>
      <c r="K483" s="309">
        <v>248455761.13999999</v>
      </c>
      <c r="L483" s="310">
        <v>145669738.80999991</v>
      </c>
    </row>
    <row r="484" spans="1:12" ht="15.75" thickTop="1">
      <c r="A484" s="187" t="s">
        <v>772</v>
      </c>
      <c r="B484" s="187"/>
      <c r="C484" s="187"/>
      <c r="D484" s="187"/>
      <c r="E484" s="187"/>
      <c r="F484" s="187"/>
      <c r="G484" s="187"/>
      <c r="H484" s="187"/>
      <c r="I484" s="187"/>
      <c r="J484" s="187"/>
      <c r="K484" s="187"/>
      <c r="L484" s="187"/>
    </row>
  </sheetData>
  <autoFilter ref="A5:L484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2:M45"/>
  <sheetViews>
    <sheetView topLeftCell="A24" workbookViewId="0">
      <selection activeCell="I46" sqref="I46"/>
    </sheetView>
  </sheetViews>
  <sheetFormatPr defaultRowHeight="14.25"/>
  <cols>
    <col min="3" max="3" width="52.625" bestFit="1" customWidth="1"/>
    <col min="4" max="4" width="4.875" bestFit="1" customWidth="1"/>
    <col min="5" max="12" width="12.625" customWidth="1"/>
  </cols>
  <sheetData>
    <row r="2" spans="2:12" ht="15.75">
      <c r="B2" s="419" t="s">
        <v>140</v>
      </c>
      <c r="C2" s="420"/>
      <c r="D2" s="420"/>
      <c r="E2" s="420"/>
      <c r="F2" s="420"/>
      <c r="G2" s="420"/>
      <c r="H2" s="420"/>
      <c r="I2" s="175"/>
      <c r="J2" s="175"/>
    </row>
    <row r="3" spans="2:12">
      <c r="B3" s="58"/>
      <c r="C3" s="58"/>
      <c r="D3" s="58"/>
      <c r="E3" s="58"/>
    </row>
    <row r="4" spans="2:12">
      <c r="B4" s="58" t="s">
        <v>0</v>
      </c>
      <c r="C4" s="58"/>
      <c r="D4" s="58"/>
      <c r="E4" s="58"/>
    </row>
    <row r="5" spans="2:12">
      <c r="B5" s="58" t="s">
        <v>1</v>
      </c>
      <c r="C5" s="58"/>
      <c r="D5" s="58"/>
      <c r="E5" s="58"/>
    </row>
    <row r="7" spans="2:12">
      <c r="B7" s="421" t="s">
        <v>141</v>
      </c>
      <c r="C7" s="422"/>
      <c r="D7" s="425" t="s">
        <v>3</v>
      </c>
      <c r="E7" s="434" t="s">
        <v>138</v>
      </c>
      <c r="F7" s="435"/>
      <c r="G7" s="436" t="s">
        <v>245</v>
      </c>
      <c r="H7" s="437"/>
      <c r="I7" s="436" t="s">
        <v>251</v>
      </c>
      <c r="J7" s="437"/>
      <c r="K7" s="432" t="s">
        <v>246</v>
      </c>
      <c r="L7" s="433"/>
    </row>
    <row r="8" spans="2:12">
      <c r="B8" s="423"/>
      <c r="C8" s="424"/>
      <c r="D8" s="426"/>
      <c r="E8" s="33" t="s">
        <v>31</v>
      </c>
      <c r="F8" s="34" t="s">
        <v>139</v>
      </c>
      <c r="G8" s="51" t="s">
        <v>80</v>
      </c>
      <c r="H8" s="51" t="s">
        <v>139</v>
      </c>
      <c r="I8" s="51" t="s">
        <v>247</v>
      </c>
      <c r="J8" s="51" t="s">
        <v>52</v>
      </c>
      <c r="K8" s="53" t="s">
        <v>80</v>
      </c>
      <c r="L8" s="53" t="s">
        <v>139</v>
      </c>
    </row>
    <row r="9" spans="2:12">
      <c r="B9" s="427" t="s">
        <v>142</v>
      </c>
      <c r="C9" s="59" t="s">
        <v>143</v>
      </c>
      <c r="D9" s="59">
        <v>1</v>
      </c>
      <c r="E9" s="164">
        <f>'výchozí model T'!D9+'výchozí model T'!D10+'výchozí model A'!D9</f>
        <v>15317.553619999999</v>
      </c>
      <c r="F9" s="165">
        <f>E9/$E$37</f>
        <v>5.3936757221179539</v>
      </c>
      <c r="G9" s="164">
        <f>'výchozí model T'!F9+'výchozí model T'!F10+'výchozí model A'!F9</f>
        <v>29779.896935254474</v>
      </c>
      <c r="H9" s="165">
        <f>G9/$G$37</f>
        <v>10.572244012799798</v>
      </c>
      <c r="I9" s="181">
        <f>G9/E9-1</f>
        <v>0.94416795749754168</v>
      </c>
      <c r="J9" s="182" t="s">
        <v>248</v>
      </c>
      <c r="K9" s="164">
        <f>'výchozí model T'!H9+'výchozí model T'!H10+'výchozí model A'!H9</f>
        <v>28018.618766155909</v>
      </c>
      <c r="L9" s="165">
        <f>K9/$K$37</f>
        <v>10.379971153281245</v>
      </c>
    </row>
    <row r="10" spans="2:12">
      <c r="B10" s="428"/>
      <c r="C10" s="59" t="s">
        <v>39</v>
      </c>
      <c r="D10" s="59">
        <v>2</v>
      </c>
      <c r="E10" s="164">
        <f>'výchozí model T'!D11+'výchozí model A'!D10</f>
        <v>2553.98279</v>
      </c>
      <c r="F10" s="165">
        <f t="shared" ref="F10:F32" si="0">E10/$E$37</f>
        <v>0.89931821430960845</v>
      </c>
      <c r="G10" s="164">
        <f>'výchozí model T'!F11+'výchozí model A'!F10</f>
        <v>3265.0348167613638</v>
      </c>
      <c r="H10" s="165">
        <f t="shared" ref="H10:H24" si="1">G10/$G$37</f>
        <v>1.1591290885974737</v>
      </c>
      <c r="I10" s="181">
        <f t="shared" ref="I10:I28" si="2">G10/E10-1</f>
        <v>0.27840909090909105</v>
      </c>
      <c r="J10" s="181" t="s">
        <v>249</v>
      </c>
      <c r="K10" s="164">
        <f>'výchozí model T'!H11+'výchozí model A'!H10</f>
        <v>3103.5772827821647</v>
      </c>
      <c r="L10" s="165">
        <f t="shared" ref="L10:L31" si="3">K10/$K$37</f>
        <v>1.1497726899432625</v>
      </c>
    </row>
    <row r="11" spans="2:12">
      <c r="B11" s="428"/>
      <c r="C11" s="59" t="s">
        <v>7</v>
      </c>
      <c r="D11" s="59">
        <v>3</v>
      </c>
      <c r="E11" s="164">
        <f>'výchozí model T'!D12+'výchozí model A'!D11</f>
        <v>17170.237849999998</v>
      </c>
      <c r="F11" s="165">
        <f t="shared" si="0"/>
        <v>6.0460499980633182</v>
      </c>
      <c r="G11" s="164">
        <f>'výchozí model T'!F12+'výchozí model A'!F11</f>
        <v>21950.588160511365</v>
      </c>
      <c r="H11" s="165">
        <f t="shared" si="1"/>
        <v>7.7927393355976156</v>
      </c>
      <c r="I11" s="181">
        <f t="shared" si="2"/>
        <v>0.27840909090909105</v>
      </c>
      <c r="J11" s="181" t="s">
        <v>249</v>
      </c>
      <c r="K11" s="164">
        <f>'výchozí model T'!H12+'výchozí model A'!H11</f>
        <v>21050.754040462532</v>
      </c>
      <c r="L11" s="165">
        <f t="shared" si="3"/>
        <v>7.7986078299747055</v>
      </c>
    </row>
    <row r="12" spans="2:12">
      <c r="B12" s="428"/>
      <c r="C12" s="59" t="s">
        <v>8</v>
      </c>
      <c r="D12" s="59">
        <v>4</v>
      </c>
      <c r="E12" s="164">
        <f>'výchozí model T'!D13+'výchozí model A'!D12</f>
        <v>16213.231</v>
      </c>
      <c r="F12" s="165">
        <f t="shared" si="0"/>
        <v>5.7090650760059303</v>
      </c>
      <c r="G12" s="164">
        <f>'výchozí model T'!F13+'výchozí model A'!F12</f>
        <v>20727.141903409094</v>
      </c>
      <c r="H12" s="165">
        <f t="shared" si="1"/>
        <v>7.3584002781202402</v>
      </c>
      <c r="I12" s="181">
        <f t="shared" si="2"/>
        <v>0.27840909090909105</v>
      </c>
      <c r="J12" s="181" t="s">
        <v>249</v>
      </c>
      <c r="K12" s="164">
        <f>'výchozí model T'!H13+'výchozí model A'!H12</f>
        <v>19572.218998608609</v>
      </c>
      <c r="L12" s="165">
        <f t="shared" si="3"/>
        <v>7.2508595197654513</v>
      </c>
    </row>
    <row r="13" spans="2:12">
      <c r="B13" s="428"/>
      <c r="C13" s="59" t="s">
        <v>9</v>
      </c>
      <c r="D13" s="59">
        <v>5</v>
      </c>
      <c r="E13" s="164">
        <f>'výchozí model T'!D14+'výchozí model A'!D13</f>
        <v>0</v>
      </c>
      <c r="F13" s="165">
        <f t="shared" si="0"/>
        <v>0</v>
      </c>
      <c r="G13" s="164">
        <f>'výchozí model T'!F14+'výchozí model A'!F13</f>
        <v>0</v>
      </c>
      <c r="H13" s="165">
        <f t="shared" si="1"/>
        <v>0</v>
      </c>
      <c r="I13" s="181">
        <v>0</v>
      </c>
      <c r="J13" s="181" t="s">
        <v>249</v>
      </c>
      <c r="K13" s="164">
        <f>'výchozí model T'!H14+'výchozí model A'!H13</f>
        <v>0</v>
      </c>
      <c r="L13" s="165">
        <f t="shared" si="3"/>
        <v>0</v>
      </c>
    </row>
    <row r="14" spans="2:12">
      <c r="B14" s="428"/>
      <c r="C14" s="59" t="s">
        <v>10</v>
      </c>
      <c r="D14" s="59">
        <v>6</v>
      </c>
      <c r="E14" s="164">
        <f>'výchozí model T'!D15+'výchozí model A'!D14</f>
        <v>46329.07699999999</v>
      </c>
      <c r="F14" s="165">
        <f t="shared" si="0"/>
        <v>16.31357226109278</v>
      </c>
      <c r="G14" s="164">
        <f>'výchozí model T'!F15+'výchozí model A'!F14</f>
        <v>57123.09959894394</v>
      </c>
      <c r="H14" s="165">
        <f t="shared" si="1"/>
        <v>20.279430417120114</v>
      </c>
      <c r="I14" s="183">
        <f>G14/E14-1</f>
        <v>0.23298591938155711</v>
      </c>
      <c r="J14" s="184" t="s">
        <v>250</v>
      </c>
      <c r="K14" s="164">
        <f>'výchozí model T'!H15+'výchozí model A'!H14</f>
        <v>53745.975788220181</v>
      </c>
      <c r="L14" s="165">
        <f t="shared" si="3"/>
        <v>19.911105645241548</v>
      </c>
    </row>
    <row r="15" spans="2:12">
      <c r="B15" s="428"/>
      <c r="C15" s="59" t="s">
        <v>11</v>
      </c>
      <c r="D15" s="59">
        <v>7</v>
      </c>
      <c r="E15" s="164">
        <f>'výchozí model T'!D16+'výchozí model A'!D15</f>
        <v>15517.750969999999</v>
      </c>
      <c r="F15" s="165">
        <f t="shared" si="0"/>
        <v>5.4641699807388262</v>
      </c>
      <c r="G15" s="164">
        <f>'výchozí model T'!F16+'výchozí model A'!F15</f>
        <v>19020.620396794322</v>
      </c>
      <c r="H15" s="165">
        <f t="shared" si="1"/>
        <v>6.7525633331419765</v>
      </c>
      <c r="I15" s="183">
        <f t="shared" si="2"/>
        <v>0.22573306103225366</v>
      </c>
      <c r="J15" s="184" t="s">
        <v>250</v>
      </c>
      <c r="K15" s="164">
        <f>'výchozí model T'!H16+'výchozí model A'!H15</f>
        <v>17896.048239129537</v>
      </c>
      <c r="L15" s="165">
        <f t="shared" si="3"/>
        <v>6.6298937156844051</v>
      </c>
    </row>
    <row r="16" spans="2:12">
      <c r="B16" s="428"/>
      <c r="C16" s="59" t="s">
        <v>12</v>
      </c>
      <c r="D16" s="59">
        <v>8</v>
      </c>
      <c r="E16" s="164">
        <f>'výchozí model T'!D17+'výchozí model A'!D16</f>
        <v>21.5352</v>
      </c>
      <c r="F16" s="165">
        <f t="shared" si="0"/>
        <v>7.5830572095594581E-3</v>
      </c>
      <c r="G16" s="164">
        <f>'výchozí model T'!F17+'výchozí model A'!F16</f>
        <v>27.530795454545455</v>
      </c>
      <c r="H16" s="165">
        <f t="shared" si="1"/>
        <v>9.773784242596369E-3</v>
      </c>
      <c r="I16" s="181">
        <f t="shared" si="2"/>
        <v>0.27840909090909105</v>
      </c>
      <c r="J16" s="181" t="s">
        <v>249</v>
      </c>
      <c r="K16" s="164">
        <f>'výchozí model T'!H17+'výchozí model A'!H16</f>
        <v>27.530795454545455</v>
      </c>
      <c r="L16" s="165">
        <f t="shared" si="3"/>
        <v>1.0199248757767194E-2</v>
      </c>
    </row>
    <row r="17" spans="2:12">
      <c r="B17" s="428"/>
      <c r="C17" s="59" t="s">
        <v>144</v>
      </c>
      <c r="D17" s="59">
        <v>9</v>
      </c>
      <c r="E17" s="164">
        <f>'výchozí model T'!D18+'výchozí model T'!D19+'výchozí model A'!D17</f>
        <v>37.409999999999997</v>
      </c>
      <c r="F17" s="165">
        <f t="shared" si="0"/>
        <v>1.3172952663992873E-2</v>
      </c>
      <c r="G17" s="164">
        <f>'výchozí model T'!F18+'výchozí model T'!F19+'výchozí model A'!F17</f>
        <v>47.825284090909093</v>
      </c>
      <c r="H17" s="165">
        <f t="shared" si="1"/>
        <v>1.6978587081407658E-2</v>
      </c>
      <c r="I17" s="181">
        <f t="shared" si="2"/>
        <v>0.27840909090909105</v>
      </c>
      <c r="J17" s="181" t="s">
        <v>249</v>
      </c>
      <c r="K17" s="164">
        <f>'výchozí model T'!H18+'výchozí model T'!H19+'výchozí model A'!H17</f>
        <v>47.825284090909093</v>
      </c>
      <c r="L17" s="165">
        <f t="shared" si="3"/>
        <v>1.7717685279359872E-2</v>
      </c>
    </row>
    <row r="18" spans="2:12">
      <c r="B18" s="428"/>
      <c r="C18" s="59" t="s">
        <v>41</v>
      </c>
      <c r="D18" s="59">
        <v>10</v>
      </c>
      <c r="E18" s="164">
        <f>'výchozí model A'!D18</f>
        <v>12.51</v>
      </c>
      <c r="F18" s="165">
        <f t="shared" si="0"/>
        <v>4.4050691747273682E-3</v>
      </c>
      <c r="G18" s="164">
        <f>'výchozí model A'!F18</f>
        <v>15.992897727272728</v>
      </c>
      <c r="H18" s="165">
        <f t="shared" si="1"/>
        <v>5.6776830897730503E-3</v>
      </c>
      <c r="I18" s="181">
        <f t="shared" si="2"/>
        <v>0.27840909090909105</v>
      </c>
      <c r="J18" s="181" t="s">
        <v>249</v>
      </c>
      <c r="K18" s="164">
        <f>'výchozí model A'!H18</f>
        <v>15.992897727272728</v>
      </c>
      <c r="L18" s="165">
        <f t="shared" si="3"/>
        <v>5.9248394238116016E-3</v>
      </c>
    </row>
    <row r="19" spans="2:12">
      <c r="B19" s="428"/>
      <c r="C19" s="59" t="s">
        <v>42</v>
      </c>
      <c r="D19" s="59">
        <v>11</v>
      </c>
      <c r="E19" s="164">
        <f>'výchozí model A'!D19</f>
        <v>0</v>
      </c>
      <c r="F19" s="165">
        <f t="shared" si="0"/>
        <v>0</v>
      </c>
      <c r="G19" s="164">
        <f>'výchozí model A'!F19</f>
        <v>0</v>
      </c>
      <c r="H19" s="165">
        <f t="shared" si="1"/>
        <v>0</v>
      </c>
      <c r="I19" s="181">
        <v>0</v>
      </c>
      <c r="J19" s="181" t="s">
        <v>249</v>
      </c>
      <c r="K19" s="164">
        <f>'výchozí model A'!H19</f>
        <v>0</v>
      </c>
      <c r="L19" s="165">
        <f t="shared" si="3"/>
        <v>0</v>
      </c>
    </row>
    <row r="20" spans="2:12">
      <c r="B20" s="428"/>
      <c r="C20" s="59" t="s">
        <v>43</v>
      </c>
      <c r="D20" s="59">
        <v>12</v>
      </c>
      <c r="E20" s="164">
        <f>'výchozí model A'!D20</f>
        <v>669.63593999999989</v>
      </c>
      <c r="F20" s="165">
        <f t="shared" si="0"/>
        <v>0.23579477518653758</v>
      </c>
      <c r="G20" s="164">
        <f>'výchozí model A'!F20</f>
        <v>856.06867329545446</v>
      </c>
      <c r="H20" s="165">
        <f t="shared" si="1"/>
        <v>0.30391531997140531</v>
      </c>
      <c r="I20" s="181">
        <f t="shared" si="2"/>
        <v>0.27840909090909105</v>
      </c>
      <c r="J20" s="181" t="s">
        <v>249</v>
      </c>
      <c r="K20" s="164">
        <f>'výchozí model A'!H20</f>
        <v>850.79582430288804</v>
      </c>
      <c r="L20" s="165">
        <f t="shared" si="3"/>
        <v>0.3151917011791992</v>
      </c>
    </row>
    <row r="21" spans="2:12">
      <c r="B21" s="428"/>
      <c r="C21" s="59" t="s">
        <v>15</v>
      </c>
      <c r="D21" s="59">
        <v>13</v>
      </c>
      <c r="E21" s="164">
        <f>'výchozí model T'!D20+'výchozí model A'!D21</f>
        <v>8051.116469999999</v>
      </c>
      <c r="F21" s="165">
        <f t="shared" si="0"/>
        <v>2.8349900067255649</v>
      </c>
      <c r="G21" s="164">
        <f>'výchozí model T'!F20+'výchozí model A'!F21</f>
        <v>10292.620487215911</v>
      </c>
      <c r="H21" s="165">
        <f t="shared" si="1"/>
        <v>3.6540118173870741</v>
      </c>
      <c r="I21" s="181">
        <v>0</v>
      </c>
      <c r="J21" s="181" t="s">
        <v>249</v>
      </c>
      <c r="K21" s="164">
        <f>'výchozí model T'!H20+'výchozí model A'!H21</f>
        <v>9799.2231975903996</v>
      </c>
      <c r="L21" s="165">
        <f t="shared" si="3"/>
        <v>3.6302879511825381</v>
      </c>
    </row>
    <row r="22" spans="2:12">
      <c r="B22" s="428"/>
      <c r="C22" s="59" t="s">
        <v>16</v>
      </c>
      <c r="D22" s="59">
        <v>14</v>
      </c>
      <c r="E22" s="164">
        <f>'výchozí model T'!D21+'výchozí model A'!D22</f>
        <v>805.88864999999987</v>
      </c>
      <c r="F22" s="165">
        <f t="shared" si="0"/>
        <v>0.28377260194865328</v>
      </c>
      <c r="G22" s="164">
        <f>'výchozí model T'!F21+'výchozí model A'!F22</f>
        <v>1030.2553764204545</v>
      </c>
      <c r="H22" s="165">
        <f t="shared" si="1"/>
        <v>0.36575382576698895</v>
      </c>
      <c r="I22" s="181">
        <f t="shared" si="2"/>
        <v>0.27840909090909105</v>
      </c>
      <c r="J22" s="181" t="s">
        <v>249</v>
      </c>
      <c r="K22" s="164">
        <f>'výchozí model T'!H21+'výchozí model A'!H22</f>
        <v>920.42237012384646</v>
      </c>
      <c r="L22" s="165">
        <f t="shared" si="3"/>
        <v>0.34098603255420434</v>
      </c>
    </row>
    <row r="23" spans="2:12">
      <c r="B23" s="428"/>
      <c r="C23" s="59" t="s">
        <v>17</v>
      </c>
      <c r="D23" s="59">
        <v>15</v>
      </c>
      <c r="E23" s="164">
        <f>'výchozí model T'!D22+'výchozí model A'!D23</f>
        <v>3318.1975499999999</v>
      </c>
      <c r="F23" s="165">
        <f t="shared" si="0"/>
        <v>1.1684164462958333</v>
      </c>
      <c r="G23" s="164">
        <f>'výchozí model T'!F22+'výchozí model A'!F23</f>
        <v>4242.0139133522725</v>
      </c>
      <c r="H23" s="165">
        <f t="shared" si="1"/>
        <v>1.5059691541296054</v>
      </c>
      <c r="I23" s="181">
        <f t="shared" si="2"/>
        <v>0.27840909090909083</v>
      </c>
      <c r="J23" s="181" t="s">
        <v>249</v>
      </c>
      <c r="K23" s="164">
        <f>'výchozí model T'!H22+'výchozí model A'!H23</f>
        <v>4242.0139133522725</v>
      </c>
      <c r="L23" s="165">
        <f t="shared" si="3"/>
        <v>1.5715257921850572</v>
      </c>
    </row>
    <row r="24" spans="2:12">
      <c r="B24" s="429"/>
      <c r="C24" s="59" t="s">
        <v>18</v>
      </c>
      <c r="D24" s="59">
        <v>16</v>
      </c>
      <c r="E24" s="164">
        <f>'výchozí model T'!D23+'výchozí model A'!D24</f>
        <v>14429.184369999999</v>
      </c>
      <c r="F24" s="165">
        <f t="shared" si="0"/>
        <v>5.080859734991602</v>
      </c>
      <c r="G24" s="164">
        <f>'výchozí model T'!F23+'výchozí model A'!F24</f>
        <v>18446.400473011367</v>
      </c>
      <c r="H24" s="165">
        <f t="shared" si="1"/>
        <v>6.5487079214042057</v>
      </c>
      <c r="I24" s="181">
        <f t="shared" si="2"/>
        <v>0.27840909090909127</v>
      </c>
      <c r="J24" s="181" t="s">
        <v>249</v>
      </c>
      <c r="K24" s="164">
        <f>'výchozí model T'!H23+'výchozí model A'!H24</f>
        <v>18446.400473011367</v>
      </c>
      <c r="L24" s="165">
        <f t="shared" si="3"/>
        <v>6.8337810078994545</v>
      </c>
    </row>
    <row r="25" spans="2:12">
      <c r="B25" s="430" t="s">
        <v>33</v>
      </c>
      <c r="C25" s="431"/>
      <c r="D25" s="60">
        <v>17</v>
      </c>
      <c r="E25" s="166">
        <f>SUM(E9:E24)</f>
        <v>140447.31140999997</v>
      </c>
      <c r="F25" s="167">
        <f>SUM(F9:F24)</f>
        <v>49.454845896524887</v>
      </c>
      <c r="G25" s="166">
        <f t="shared" ref="G25:K25" si="4">SUM(G9:G24)</f>
        <v>186825.08971224271</v>
      </c>
      <c r="H25" s="167">
        <f t="shared" si="4"/>
        <v>66.325294558450267</v>
      </c>
      <c r="I25" s="185"/>
      <c r="J25" s="185"/>
      <c r="K25" s="166">
        <f t="shared" si="4"/>
        <v>177737.39787101245</v>
      </c>
      <c r="L25" s="167">
        <f t="shared" si="3"/>
        <v>65.845824812352021</v>
      </c>
    </row>
    <row r="26" spans="2:12">
      <c r="B26" s="440" t="s">
        <v>36</v>
      </c>
      <c r="C26" s="59" t="s">
        <v>19</v>
      </c>
      <c r="D26" s="59">
        <v>18</v>
      </c>
      <c r="E26" s="164">
        <f>'výchozí model T'!D25+'výchozí model A'!D26</f>
        <v>46945.34476</v>
      </c>
      <c r="F26" s="165">
        <f t="shared" si="0"/>
        <v>16.530574828075537</v>
      </c>
      <c r="G26" s="164">
        <f>'výchozí model T'!F25+'výchozí model A'!F26</f>
        <v>60015.355517045464</v>
      </c>
      <c r="H26" s="165">
        <f>G26/$G$37</f>
        <v>21.306218232407506</v>
      </c>
      <c r="I26" s="181">
        <f>G26/E26-1</f>
        <v>0.27840909090909105</v>
      </c>
      <c r="J26" s="186" t="s">
        <v>249</v>
      </c>
      <c r="K26" s="164">
        <f>'výchozí model T'!H25+'výchozí model A'!H26</f>
        <v>56284.428949297981</v>
      </c>
      <c r="L26" s="165">
        <f t="shared" si="3"/>
        <v>20.851518547314029</v>
      </c>
    </row>
    <row r="27" spans="2:12">
      <c r="B27" s="441"/>
      <c r="C27" s="59" t="s">
        <v>20</v>
      </c>
      <c r="D27" s="59">
        <v>19</v>
      </c>
      <c r="E27" s="164">
        <f>'výchozí model T'!D26+'výchozí model A'!D27</f>
        <v>0</v>
      </c>
      <c r="F27" s="165">
        <f t="shared" si="0"/>
        <v>0</v>
      </c>
      <c r="G27" s="164">
        <f>'výchozí model T'!F26+'výchozí model A'!F27</f>
        <v>0</v>
      </c>
      <c r="H27" s="165">
        <f t="shared" ref="H27:H28" si="5">G27/$G$37</f>
        <v>0</v>
      </c>
      <c r="I27" s="181">
        <v>0</v>
      </c>
      <c r="J27" s="181" t="s">
        <v>249</v>
      </c>
      <c r="K27" s="164">
        <f>'výchozí model T'!H26+'výchozí model A'!H27</f>
        <v>0</v>
      </c>
      <c r="L27" s="165">
        <f t="shared" si="3"/>
        <v>0</v>
      </c>
    </row>
    <row r="28" spans="2:12">
      <c r="B28" s="442"/>
      <c r="C28" s="61" t="s">
        <v>21</v>
      </c>
      <c r="D28" s="59">
        <v>20</v>
      </c>
      <c r="E28" s="164">
        <f>'výchozí model T'!D27+'výchozí model A'!D28</f>
        <v>3609.4585099999999</v>
      </c>
      <c r="F28" s="165">
        <f t="shared" si="0"/>
        <v>1.2709763724906775</v>
      </c>
      <c r="G28" s="164">
        <f>'výchozí model T'!F27+'výchozí model A'!F28</f>
        <v>4614.3645724431826</v>
      </c>
      <c r="H28" s="165">
        <f t="shared" si="5"/>
        <v>1.6381583969196187</v>
      </c>
      <c r="I28" s="181">
        <f t="shared" si="2"/>
        <v>0.27840909090909105</v>
      </c>
      <c r="J28" s="181" t="s">
        <v>249</v>
      </c>
      <c r="K28" s="164">
        <f>'výchozí model T'!H27+'výchozí model A'!H28</f>
        <v>4398.2429649221594</v>
      </c>
      <c r="L28" s="165">
        <f t="shared" si="3"/>
        <v>1.6294034863759903</v>
      </c>
    </row>
    <row r="29" spans="2:12">
      <c r="B29" s="430" t="s">
        <v>37</v>
      </c>
      <c r="C29" s="431"/>
      <c r="D29" s="62">
        <v>21</v>
      </c>
      <c r="E29" s="166">
        <f>SUM(E26:E28)</f>
        <v>50554.803269999997</v>
      </c>
      <c r="F29" s="167">
        <f>SUM(F26:F28)</f>
        <v>17.801551200566216</v>
      </c>
      <c r="G29" s="166">
        <f t="shared" ref="G29:K29" si="6">SUM(G26:G28)</f>
        <v>64629.720089488648</v>
      </c>
      <c r="H29" s="167">
        <f t="shared" si="6"/>
        <v>22.944376629327124</v>
      </c>
      <c r="I29" s="185"/>
      <c r="J29" s="185"/>
      <c r="K29" s="166">
        <f t="shared" si="6"/>
        <v>60682.67191422014</v>
      </c>
      <c r="L29" s="167">
        <f t="shared" si="3"/>
        <v>22.480922033690018</v>
      </c>
    </row>
    <row r="30" spans="2:12">
      <c r="B30" s="438" t="s">
        <v>22</v>
      </c>
      <c r="C30" s="439"/>
      <c r="D30" s="59">
        <v>22</v>
      </c>
      <c r="E30" s="164">
        <f>'výchozí model T'!D29+'výchozí model A'!D30</f>
        <v>173543.73699999999</v>
      </c>
      <c r="F30" s="165">
        <f t="shared" si="0"/>
        <v>61.108886197097796</v>
      </c>
      <c r="G30" s="168">
        <f>'výchozí model T'!F29+'výchozí model A'!F30</f>
        <v>171366.75865999988</v>
      </c>
      <c r="H30" s="169">
        <f>G30/$G$37</f>
        <v>60.837389470320886</v>
      </c>
      <c r="I30" s="185"/>
      <c r="J30" s="185"/>
      <c r="K30" s="168">
        <f>'výchozí model T'!H29+'výchozí model A'!H30</f>
        <v>171366.75865999988</v>
      </c>
      <c r="L30" s="169">
        <f t="shared" si="3"/>
        <v>63.485713780820767</v>
      </c>
    </row>
    <row r="31" spans="2:12">
      <c r="B31" s="430" t="s">
        <v>23</v>
      </c>
      <c r="C31" s="431"/>
      <c r="D31" s="60">
        <v>23</v>
      </c>
      <c r="E31" s="166">
        <f>'výchozí model T'!D30+'výchozí model A'!D31</f>
        <v>1735.4373699999999</v>
      </c>
      <c r="F31" s="165">
        <f t="shared" si="0"/>
        <v>0.61108886197097789</v>
      </c>
      <c r="G31" s="164">
        <f>'výchozí model T'!F30+'výchozí model A'!F31</f>
        <v>1713.6675865999987</v>
      </c>
      <c r="H31" s="165">
        <f t="shared" ref="H31:H32" si="7">G31/$G$37</f>
        <v>0.6083738947032088</v>
      </c>
      <c r="I31" s="185"/>
      <c r="J31" s="185"/>
      <c r="K31" s="164">
        <f>'výchozí model T'!H30+'výchozí model A'!H31</f>
        <v>1713.6675865999987</v>
      </c>
      <c r="L31" s="165">
        <f t="shared" si="3"/>
        <v>0.63485713780820763</v>
      </c>
    </row>
    <row r="32" spans="2:12">
      <c r="B32" s="430" t="s">
        <v>145</v>
      </c>
      <c r="C32" s="431"/>
      <c r="D32" s="60">
        <v>24</v>
      </c>
      <c r="E32" s="166">
        <f>E25-E29+E31</f>
        <v>91627.945509999961</v>
      </c>
      <c r="F32" s="167">
        <f t="shared" si="0"/>
        <v>32.264383557929641</v>
      </c>
      <c r="G32" s="170">
        <f>G25-G29+G31</f>
        <v>123909.03720935406</v>
      </c>
      <c r="H32" s="171">
        <f t="shared" si="7"/>
        <v>43.989291823826349</v>
      </c>
      <c r="I32" s="185"/>
      <c r="J32" s="185"/>
      <c r="K32" s="172">
        <f>K25-K29+K31</f>
        <v>118768.3935433923</v>
      </c>
      <c r="L32" s="173">
        <f>K32/$K$37</f>
        <v>43.999759916470204</v>
      </c>
    </row>
    <row r="33" spans="2:13">
      <c r="B33" s="438" t="s">
        <v>25</v>
      </c>
      <c r="C33" s="439"/>
      <c r="D33" s="59">
        <v>25</v>
      </c>
      <c r="E33" s="174"/>
      <c r="F33" s="174"/>
      <c r="G33" s="174"/>
      <c r="H33" s="174"/>
      <c r="I33" s="181"/>
      <c r="J33" s="181"/>
      <c r="K33" s="174"/>
      <c r="L33" s="174"/>
    </row>
    <row r="34" spans="2:13">
      <c r="B34" s="438" t="s">
        <v>26</v>
      </c>
      <c r="C34" s="439"/>
      <c r="D34" s="59">
        <v>26</v>
      </c>
      <c r="E34" s="174"/>
      <c r="F34" s="174"/>
      <c r="G34" s="174"/>
      <c r="H34" s="174"/>
      <c r="I34" s="181"/>
      <c r="J34" s="181"/>
      <c r="K34" s="174"/>
      <c r="L34" s="174"/>
    </row>
    <row r="37" spans="2:13" ht="15">
      <c r="B37" s="430" t="s">
        <v>146</v>
      </c>
      <c r="C37" s="431"/>
      <c r="D37" s="60"/>
      <c r="E37" s="63" cm="1">
        <f t="array" ref="E37:F37">'výchozí model T'!D35:E35+'výchozí model A'!D36:E36</f>
        <v>2839.91</v>
      </c>
      <c r="F37" s="25">
        <v>0</v>
      </c>
      <c r="G37" s="63" cm="1">
        <f t="array" ref="G37:H37">'výchozí model T'!F35:G35+'výchozí model A'!F36:G36</f>
        <v>2816.8</v>
      </c>
      <c r="H37" s="25">
        <v>0</v>
      </c>
      <c r="I37" s="25"/>
      <c r="J37" s="25"/>
      <c r="K37" s="63" cm="1">
        <f t="array" ref="K37:L37">'výchozí model T'!H35:I35+'výchozí model A'!H36:I36</f>
        <v>2699.2963999999997</v>
      </c>
      <c r="L37" s="25">
        <v>0</v>
      </c>
    </row>
    <row r="39" spans="2:13">
      <c r="K39" s="24"/>
    </row>
    <row r="40" spans="2:13" s="300" customFormat="1">
      <c r="K40" s="40">
        <f>'výchozí model T'!H39+'výchozí model A'!H40</f>
        <v>6637.4169755309631</v>
      </c>
      <c r="L40" s="37" t="s">
        <v>982</v>
      </c>
      <c r="M40"/>
    </row>
    <row r="41" spans="2:13" s="300" customFormat="1">
      <c r="K41" s="56">
        <f>K32+K40</f>
        <v>125405.81051892327</v>
      </c>
      <c r="L41" s="57">
        <f>K41/K37</f>
        <v>46.458703282426967</v>
      </c>
      <c r="M41" t="s">
        <v>983</v>
      </c>
    </row>
    <row r="42" spans="2:13" s="300" customFormat="1"/>
    <row r="43" spans="2:13" s="300" customFormat="1">
      <c r="K43" s="24"/>
    </row>
    <row r="44" spans="2:13">
      <c r="K44" s="40">
        <f>'výchozí model T'!H43+'výchozí model A'!H44</f>
        <v>13274.833951061926</v>
      </c>
      <c r="L44" s="37" t="s">
        <v>981</v>
      </c>
    </row>
    <row r="45" spans="2:13">
      <c r="K45" s="56">
        <f>K32+K44</f>
        <v>132043.22749445424</v>
      </c>
      <c r="L45" s="57">
        <f>K45/K37</f>
        <v>48.917646648383723</v>
      </c>
      <c r="M45" t="s">
        <v>983</v>
      </c>
    </row>
  </sheetData>
  <mergeCells count="17">
    <mergeCell ref="K7:L7"/>
    <mergeCell ref="B37:C37"/>
    <mergeCell ref="E7:F7"/>
    <mergeCell ref="G7:H7"/>
    <mergeCell ref="B29:C29"/>
    <mergeCell ref="B30:C30"/>
    <mergeCell ref="B31:C31"/>
    <mergeCell ref="B32:C32"/>
    <mergeCell ref="B33:C33"/>
    <mergeCell ref="B34:C34"/>
    <mergeCell ref="B26:B28"/>
    <mergeCell ref="I7:J7"/>
    <mergeCell ref="B2:H2"/>
    <mergeCell ref="B7:C8"/>
    <mergeCell ref="D7:D8"/>
    <mergeCell ref="B9:B24"/>
    <mergeCell ref="B25:C25"/>
  </mergeCells>
  <phoneticPr fontId="28" type="noConversion"/>
  <pageMargins left="0.7" right="0.7" top="0.78740157499999996" bottom="0.78740157499999996" header="0.3" footer="0.3"/>
  <pageSetup paperSize="9" scale="78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K45"/>
  <sheetViews>
    <sheetView workbookViewId="0">
      <pane xSplit="3" ySplit="8" topLeftCell="D33" activePane="bottomRight" state="frozen"/>
      <selection activeCell="H11" sqref="H11"/>
      <selection pane="topRight" activeCell="H11" sqref="H11"/>
      <selection pane="bottomLeft" activeCell="H11" sqref="H11"/>
      <selection pane="bottomRight" activeCell="I47" sqref="I47"/>
    </sheetView>
  </sheetViews>
  <sheetFormatPr defaultColWidth="8.75" defaultRowHeight="14.25"/>
  <cols>
    <col min="1" max="1" width="8.75" style="4"/>
    <col min="2" max="2" width="27.375" style="4" bestFit="1" customWidth="1"/>
    <col min="3" max="3" width="8.75" style="4"/>
    <col min="4" max="9" width="12.625" style="4" customWidth="1"/>
    <col min="10" max="16384" width="8.75" style="4"/>
  </cols>
  <sheetData>
    <row r="1" spans="1:11">
      <c r="A1" s="453" t="s">
        <v>29</v>
      </c>
      <c r="B1" s="454"/>
      <c r="C1" s="454"/>
      <c r="D1" s="454"/>
      <c r="E1" s="454"/>
    </row>
    <row r="2" spans="1:11">
      <c r="A2" s="30"/>
      <c r="B2" s="30"/>
      <c r="C2" s="30"/>
      <c r="D2" s="30"/>
      <c r="E2" s="30"/>
    </row>
    <row r="3" spans="1:11">
      <c r="A3" s="30" t="s">
        <v>0</v>
      </c>
      <c r="B3" s="30"/>
      <c r="C3" s="30"/>
      <c r="D3" s="30"/>
      <c r="E3" s="30"/>
    </row>
    <row r="4" spans="1:11">
      <c r="A4" s="30" t="s">
        <v>1</v>
      </c>
      <c r="B4" s="30"/>
      <c r="C4" s="30"/>
      <c r="D4" s="30" t="s">
        <v>32</v>
      </c>
      <c r="E4" s="30"/>
    </row>
    <row r="5" spans="1:11">
      <c r="A5" s="30" t="s">
        <v>208</v>
      </c>
      <c r="B5" s="31"/>
      <c r="C5" s="31"/>
      <c r="D5" s="30"/>
      <c r="E5" s="30"/>
    </row>
    <row r="6" spans="1:11">
      <c r="A6" s="30"/>
      <c r="B6" s="30"/>
      <c r="C6" s="30"/>
      <c r="D6" s="32"/>
      <c r="E6" s="32"/>
    </row>
    <row r="7" spans="1:11">
      <c r="A7" s="455" t="s">
        <v>2</v>
      </c>
      <c r="B7" s="456"/>
      <c r="C7" s="457" t="s">
        <v>3</v>
      </c>
      <c r="D7" s="434" t="s">
        <v>138</v>
      </c>
      <c r="E7" s="435"/>
      <c r="F7" s="436" t="s">
        <v>245</v>
      </c>
      <c r="G7" s="437"/>
      <c r="H7" s="432" t="s">
        <v>246</v>
      </c>
      <c r="I7" s="433"/>
    </row>
    <row r="8" spans="1:11">
      <c r="A8" s="456"/>
      <c r="B8" s="456"/>
      <c r="C8" s="457"/>
      <c r="D8" s="33" t="s">
        <v>31</v>
      </c>
      <c r="E8" s="34" t="s">
        <v>139</v>
      </c>
      <c r="F8" s="51" t="s">
        <v>80</v>
      </c>
      <c r="G8" s="51" t="s">
        <v>139</v>
      </c>
      <c r="H8" s="53" t="s">
        <v>80</v>
      </c>
      <c r="I8" s="53" t="s">
        <v>139</v>
      </c>
    </row>
    <row r="9" spans="1:11">
      <c r="A9" s="458" t="s">
        <v>30</v>
      </c>
      <c r="B9" s="35" t="s">
        <v>4</v>
      </c>
      <c r="C9" s="35">
        <v>1</v>
      </c>
      <c r="D9" s="36">
        <v>6342.5713900000001</v>
      </c>
      <c r="E9" s="37">
        <f>D9/$D$35</f>
        <v>5.2403047315473943</v>
      </c>
      <c r="F9" s="38">
        <f>D9*'index PHM a energie'!$B$31</f>
        <v>15525.950925836916</v>
      </c>
      <c r="G9" s="37">
        <f>F9/$F$35</f>
        <v>12.68092254765727</v>
      </c>
      <c r="H9" s="321">
        <f>F9*'změna výkonu '!$D$6</f>
        <v>13850.952598247377</v>
      </c>
      <c r="I9" s="37">
        <f>H9/$H$35</f>
        <v>12.827717513233361</v>
      </c>
    </row>
    <row r="10" spans="1:11">
      <c r="A10" s="459"/>
      <c r="B10" s="35" t="s">
        <v>5</v>
      </c>
      <c r="C10" s="35">
        <v>2</v>
      </c>
      <c r="D10" s="36">
        <v>192.47332999999998</v>
      </c>
      <c r="E10" s="37">
        <f t="shared" ref="E10:E28" si="0">D10/$D$35</f>
        <v>0.15902365773697391</v>
      </c>
      <c r="F10" s="38">
        <f>D10*'index bazický'!$C$9</f>
        <v>246.05965482954545</v>
      </c>
      <c r="G10" s="37">
        <f t="shared" ref="G10:G31" si="1">F10/$F$35</f>
        <v>0.2009708416509472</v>
      </c>
      <c r="H10" s="38">
        <f>F10</f>
        <v>246.05965482954545</v>
      </c>
      <c r="I10" s="37">
        <f t="shared" ref="I10:I31" si="2">H10/$H$35</f>
        <v>0.22788206956657314</v>
      </c>
      <c r="K10" s="358"/>
    </row>
    <row r="11" spans="1:11">
      <c r="A11" s="459"/>
      <c r="B11" s="35" t="s">
        <v>6</v>
      </c>
      <c r="C11" s="35">
        <v>3</v>
      </c>
      <c r="D11" s="36">
        <v>1086.90464</v>
      </c>
      <c r="E11" s="37">
        <f t="shared" si="0"/>
        <v>0.89801299465275986</v>
      </c>
      <c r="F11" s="38">
        <f>D11*'index bazický'!$C$9</f>
        <v>1389.5087727272728</v>
      </c>
      <c r="G11" s="37">
        <f t="shared" si="1"/>
        <v>1.1348904302488028</v>
      </c>
      <c r="H11" s="321">
        <f>F11*'změna výkonu '!$D$6</f>
        <v>1239.6033091839042</v>
      </c>
      <c r="I11" s="37">
        <f t="shared" si="2"/>
        <v>1.1480279761185854</v>
      </c>
    </row>
    <row r="12" spans="1:11">
      <c r="A12" s="459"/>
      <c r="B12" s="35" t="s">
        <v>7</v>
      </c>
      <c r="C12" s="35">
        <v>4</v>
      </c>
      <c r="D12" s="36">
        <v>8186.1937399999997</v>
      </c>
      <c r="E12" s="37">
        <f t="shared" si="0"/>
        <v>6.76352651808081</v>
      </c>
      <c r="F12" s="38">
        <f>D12*'index bazický'!$C$9</f>
        <v>10465.304497159092</v>
      </c>
      <c r="G12" s="37">
        <f t="shared" si="1"/>
        <v>8.547606288338832</v>
      </c>
      <c r="H12" s="180">
        <f>(0.75*'změna výkonu '!$D$6*'výchozí model T'!F12)+((1-0.75)*'výchozí model T'!F12)</f>
        <v>9618.5270140508292</v>
      </c>
      <c r="I12" s="37">
        <f t="shared" si="2"/>
        <v>8.9079611351251256</v>
      </c>
    </row>
    <row r="13" spans="1:11">
      <c r="A13" s="459"/>
      <c r="B13" s="35" t="s">
        <v>8</v>
      </c>
      <c r="C13" s="35">
        <v>5</v>
      </c>
      <c r="D13" s="36">
        <v>10749.241</v>
      </c>
      <c r="E13" s="37">
        <f t="shared" si="0"/>
        <v>8.8811453603273112</v>
      </c>
      <c r="F13" s="38">
        <f>D13*'index bazický'!$C$9</f>
        <v>13741.927414772728</v>
      </c>
      <c r="G13" s="37">
        <f t="shared" si="1"/>
        <v>11.223809609772271</v>
      </c>
      <c r="H13" s="180">
        <f>(0.75*F13*'změna výkonu '!$D$6)+((1-0.75)*'výchozí model T'!F13*'změna výkonu '!F22)</f>
        <v>12630.029073688005</v>
      </c>
      <c r="I13" s="37">
        <f t="shared" si="2"/>
        <v>11.696989358096175</v>
      </c>
    </row>
    <row r="14" spans="1:11">
      <c r="A14" s="459"/>
      <c r="B14" s="35" t="s">
        <v>9</v>
      </c>
      <c r="C14" s="35">
        <v>6</v>
      </c>
      <c r="D14" s="36">
        <v>0</v>
      </c>
      <c r="E14" s="37">
        <f t="shared" si="0"/>
        <v>0</v>
      </c>
      <c r="F14" s="38">
        <f>D14*'index bazický'!$C$9</f>
        <v>0</v>
      </c>
      <c r="G14" s="37">
        <f t="shared" si="1"/>
        <v>0</v>
      </c>
      <c r="H14" s="38">
        <f>F14</f>
        <v>0</v>
      </c>
      <c r="I14" s="37">
        <f t="shared" si="2"/>
        <v>0</v>
      </c>
    </row>
    <row r="15" spans="1:11">
      <c r="A15" s="459"/>
      <c r="B15" s="35" t="s">
        <v>10</v>
      </c>
      <c r="C15" s="35">
        <v>7</v>
      </c>
      <c r="D15" s="36">
        <v>24120.286199999999</v>
      </c>
      <c r="E15" s="37">
        <f t="shared" si="0"/>
        <v>19.928455216037751</v>
      </c>
      <c r="F15" s="38">
        <f>D15/100*'index mzdy'!B11</f>
        <v>29739.973256053283</v>
      </c>
      <c r="G15" s="37">
        <f t="shared" si="1"/>
        <v>24.290318785036433</v>
      </c>
      <c r="H15" s="321">
        <f>F15*'změna výkonu '!$D$6</f>
        <v>26531.512421390322</v>
      </c>
      <c r="I15" s="37">
        <f t="shared" si="2"/>
        <v>24.571504676400501</v>
      </c>
    </row>
    <row r="16" spans="1:11">
      <c r="A16" s="459"/>
      <c r="B16" s="35" t="s">
        <v>11</v>
      </c>
      <c r="C16" s="35">
        <v>8</v>
      </c>
      <c r="D16" s="36">
        <v>8079.5692499999996</v>
      </c>
      <c r="E16" s="37">
        <f t="shared" si="0"/>
        <v>6.6754321498681364</v>
      </c>
      <c r="F16" s="38">
        <f>D16/100*'index mzdy'!C22</f>
        <v>9903.3951486245696</v>
      </c>
      <c r="G16" s="37">
        <f t="shared" si="1"/>
        <v>8.088663131709815</v>
      </c>
      <c r="H16" s="321">
        <f>F16*'změna výkonu '!$D$6</f>
        <v>8834.9794109579034</v>
      </c>
      <c r="I16" s="37">
        <f t="shared" si="2"/>
        <v>8.1822978827709907</v>
      </c>
    </row>
    <row r="17" spans="1:9">
      <c r="A17" s="459"/>
      <c r="B17" s="35" t="s">
        <v>12</v>
      </c>
      <c r="C17" s="35">
        <v>9</v>
      </c>
      <c r="D17" s="36">
        <v>13.987159999999999</v>
      </c>
      <c r="E17" s="37">
        <f t="shared" si="0"/>
        <v>1.1556350921721427E-2</v>
      </c>
      <c r="F17" s="38">
        <f>D17*'index bazický'!$C$9</f>
        <v>17.8813125</v>
      </c>
      <c r="G17" s="37">
        <f t="shared" si="1"/>
        <v>1.4604679606813383E-2</v>
      </c>
      <c r="H17" s="38">
        <f>F17</f>
        <v>17.8813125</v>
      </c>
      <c r="I17" s="37">
        <f t="shared" si="2"/>
        <v>1.6560335752276896E-2</v>
      </c>
    </row>
    <row r="18" spans="1:9">
      <c r="A18" s="459"/>
      <c r="B18" s="35" t="s">
        <v>13</v>
      </c>
      <c r="C18" s="35">
        <v>10</v>
      </c>
      <c r="D18" s="36">
        <v>37.409999999999997</v>
      </c>
      <c r="E18" s="37">
        <f t="shared" si="0"/>
        <v>3.0908568142610691E-2</v>
      </c>
      <c r="F18" s="38">
        <f>D18*'index bazický'!$C$9</f>
        <v>47.825284090909093</v>
      </c>
      <c r="G18" s="37">
        <f t="shared" si="1"/>
        <v>3.9061615373734815E-2</v>
      </c>
      <c r="H18" s="38">
        <f>F18</f>
        <v>47.825284090909093</v>
      </c>
      <c r="I18" s="37">
        <f t="shared" si="2"/>
        <v>4.4292205171934738E-2</v>
      </c>
    </row>
    <row r="19" spans="1:9">
      <c r="A19" s="459"/>
      <c r="B19" s="35" t="s">
        <v>14</v>
      </c>
      <c r="C19" s="35">
        <v>11</v>
      </c>
      <c r="D19" s="36">
        <v>0</v>
      </c>
      <c r="E19" s="37">
        <f t="shared" si="0"/>
        <v>0</v>
      </c>
      <c r="F19" s="38">
        <f>D19*'index bazický'!$C$9</f>
        <v>0</v>
      </c>
      <c r="G19" s="37">
        <f t="shared" si="1"/>
        <v>0</v>
      </c>
      <c r="H19" s="38">
        <f>F19</f>
        <v>0</v>
      </c>
      <c r="I19" s="37">
        <f t="shared" si="2"/>
        <v>0</v>
      </c>
    </row>
    <row r="20" spans="1:9">
      <c r="A20" s="459"/>
      <c r="B20" s="35" t="s">
        <v>15</v>
      </c>
      <c r="C20" s="35">
        <v>12</v>
      </c>
      <c r="D20" s="36">
        <v>4499.5437399999992</v>
      </c>
      <c r="E20" s="37">
        <f t="shared" si="0"/>
        <v>3.7175742929282904</v>
      </c>
      <c r="F20" s="38">
        <f>D20*'index bazický'!$C$9</f>
        <v>5752.2576221590907</v>
      </c>
      <c r="G20" s="37">
        <f t="shared" si="1"/>
        <v>4.6981942509803858</v>
      </c>
      <c r="H20" s="180">
        <f>(0.75*'změna výkonu '!$D$6*'výchozí model T'!F20)+((1-0.75)*'výchozí model T'!F20)</f>
        <v>5286.8261354016404</v>
      </c>
      <c r="I20" s="37">
        <f t="shared" si="2"/>
        <v>4.8962633959986821</v>
      </c>
    </row>
    <row r="21" spans="1:9">
      <c r="A21" s="459"/>
      <c r="B21" s="35" t="s">
        <v>16</v>
      </c>
      <c r="C21" s="35">
        <v>13</v>
      </c>
      <c r="D21" s="36">
        <v>805.88864999999987</v>
      </c>
      <c r="E21" s="37">
        <f t="shared" si="0"/>
        <v>0.66583438262179995</v>
      </c>
      <c r="F21" s="38">
        <f>D21*'index bazický'!$C$9</f>
        <v>1030.2553764204545</v>
      </c>
      <c r="G21" s="37">
        <f t="shared" si="1"/>
        <v>0.84146785566314874</v>
      </c>
      <c r="H21" s="180">
        <f>(0.75*'změna výkonu '!$B$17*'výchozí model T'!F21)+((1-0.75)*('změna výkonu '!$B$15/'změna výkonu '!$B$16)*'výchozí model T'!F21)</f>
        <v>920.42237012384646</v>
      </c>
      <c r="I21" s="37">
        <f t="shared" si="2"/>
        <v>0.85242643587585498</v>
      </c>
    </row>
    <row r="22" spans="1:9">
      <c r="A22" s="459"/>
      <c r="B22" s="35" t="s">
        <v>17</v>
      </c>
      <c r="C22" s="35">
        <v>14</v>
      </c>
      <c r="D22" s="36">
        <v>1397.5721099999998</v>
      </c>
      <c r="E22" s="37">
        <f t="shared" si="0"/>
        <v>1.1546899972239295</v>
      </c>
      <c r="F22" s="38">
        <f>D22*'index bazický'!$C$9</f>
        <v>1786.6688906249999</v>
      </c>
      <c r="G22" s="37">
        <f t="shared" si="1"/>
        <v>1.4592735690424754</v>
      </c>
      <c r="H22" s="320">
        <f>F22</f>
        <v>1786.6688906249999</v>
      </c>
      <c r="I22" s="37">
        <f t="shared" si="2"/>
        <v>1.6546792472251735</v>
      </c>
    </row>
    <row r="23" spans="1:9">
      <c r="A23" s="460"/>
      <c r="B23" s="35" t="s">
        <v>18</v>
      </c>
      <c r="C23" s="35">
        <v>15</v>
      </c>
      <c r="D23" s="36">
        <v>7546.9012399999992</v>
      </c>
      <c r="E23" s="37">
        <f t="shared" si="0"/>
        <v>6.2353357723093588</v>
      </c>
      <c r="F23" s="38">
        <f>D23*'index bazický'!$C$9</f>
        <v>9648.0271534090916</v>
      </c>
      <c r="G23" s="37">
        <f t="shared" si="1"/>
        <v>7.8800896418188282</v>
      </c>
      <c r="H23" s="320">
        <f>F23</f>
        <v>9648.0271534090916</v>
      </c>
      <c r="I23" s="37">
        <f t="shared" si="2"/>
        <v>8.9352819602889255</v>
      </c>
    </row>
    <row r="24" spans="1:9">
      <c r="A24" s="449" t="s">
        <v>33</v>
      </c>
      <c r="B24" s="450"/>
      <c r="C24" s="39">
        <v>16</v>
      </c>
      <c r="D24" s="40">
        <v>73058.542450000008</v>
      </c>
      <c r="E24" s="37">
        <f t="shared" si="0"/>
        <v>60.361799992398858</v>
      </c>
      <c r="F24" s="40">
        <f>SUM(F9:F23)</f>
        <v>99295.035309207946</v>
      </c>
      <c r="G24" s="37">
        <f t="shared" si="1"/>
        <v>81.099873246899747</v>
      </c>
      <c r="H24" s="40">
        <f>SUM(H9:H23)</f>
        <v>90659.314628498396</v>
      </c>
      <c r="I24" s="37">
        <f t="shared" si="2"/>
        <v>83.961884191624179</v>
      </c>
    </row>
    <row r="25" spans="1:9">
      <c r="A25" s="461" t="s">
        <v>36</v>
      </c>
      <c r="B25" s="41" t="s">
        <v>19</v>
      </c>
      <c r="C25" s="41">
        <v>17</v>
      </c>
      <c r="D25" s="36">
        <v>29484.39731</v>
      </c>
      <c r="E25" s="37">
        <f t="shared" si="0"/>
        <v>24.360344918469458</v>
      </c>
      <c r="F25" s="38">
        <f>D25*'index bazický'!$C$9</f>
        <v>37693.121561079548</v>
      </c>
      <c r="G25" s="37">
        <f t="shared" si="1"/>
        <v>30.786104978604691</v>
      </c>
      <c r="H25" s="180">
        <f>(0.75*'změna výkonu '!$B$17*'výchozí model T'!F25)+((1-0.75)*('změna výkonu '!$B$15/'změna výkonu '!$B$16)*'výchozí model T'!F25)</f>
        <v>33674.750046105459</v>
      </c>
      <c r="I25" s="37">
        <f t="shared" si="2"/>
        <v>31.187037704167874</v>
      </c>
    </row>
    <row r="26" spans="1:9">
      <c r="A26" s="462"/>
      <c r="B26" s="41" t="s">
        <v>20</v>
      </c>
      <c r="C26" s="41">
        <v>18</v>
      </c>
      <c r="D26" s="36">
        <v>0</v>
      </c>
      <c r="E26" s="37">
        <f t="shared" si="0"/>
        <v>0</v>
      </c>
      <c r="F26" s="38">
        <f>D26*'index bazický'!$C$9</f>
        <v>0</v>
      </c>
      <c r="G26" s="37">
        <f t="shared" si="1"/>
        <v>0</v>
      </c>
      <c r="H26" s="180">
        <f>(0.75*'změna výkonu '!$B$17*'výchozí model T'!F26)+((1-0.75)*('změna výkonu '!$B$15*'změna výkonu '!$B$16)*'výchozí model T'!F26)</f>
        <v>0</v>
      </c>
      <c r="I26" s="37">
        <f t="shared" si="2"/>
        <v>0</v>
      </c>
    </row>
    <row r="27" spans="1:9">
      <c r="A27" s="463"/>
      <c r="B27" s="42" t="s">
        <v>21</v>
      </c>
      <c r="C27" s="41">
        <v>19</v>
      </c>
      <c r="D27" s="36">
        <v>1964.0978299999999</v>
      </c>
      <c r="E27" s="37">
        <f t="shared" si="0"/>
        <v>1.6227600004626783</v>
      </c>
      <c r="F27" s="38">
        <f>D27*'index bazický'!$C$9</f>
        <v>2510.9205213068185</v>
      </c>
      <c r="G27" s="37">
        <f t="shared" si="1"/>
        <v>2.0508108524952471</v>
      </c>
      <c r="H27" s="180">
        <f>(0.75*'změna výkonu '!$D$6*'výchozí model T'!F27)+((1-0.75)*'výchozí model T'!F27)</f>
        <v>2307.7548169649863</v>
      </c>
      <c r="I27" s="37">
        <f t="shared" si="2"/>
        <v>2.137270102676998</v>
      </c>
    </row>
    <row r="28" spans="1:9">
      <c r="A28" s="449" t="s">
        <v>37</v>
      </c>
      <c r="B28" s="450"/>
      <c r="C28" s="43">
        <v>20</v>
      </c>
      <c r="D28" s="40">
        <v>31448.495139999999</v>
      </c>
      <c r="E28" s="37">
        <f t="shared" si="0"/>
        <v>25.983104918932135</v>
      </c>
      <c r="F28" s="40">
        <f>SUM(F25:F27)</f>
        <v>40204.042082386368</v>
      </c>
      <c r="G28" s="37">
        <f t="shared" si="1"/>
        <v>32.836915831099937</v>
      </c>
      <c r="H28" s="40">
        <f>SUM(H25:H27)</f>
        <v>35982.504863070448</v>
      </c>
      <c r="I28" s="37">
        <f t="shared" si="2"/>
        <v>33.324307806844871</v>
      </c>
    </row>
    <row r="29" spans="1:9">
      <c r="A29" s="447" t="s">
        <v>22</v>
      </c>
      <c r="B29" s="448"/>
      <c r="C29" s="44">
        <v>21</v>
      </c>
      <c r="D29" s="36">
        <v>140239.978</v>
      </c>
      <c r="E29" s="37"/>
      <c r="F29" s="46">
        <f>'Provozní aktiva A+T'!D75/1000</f>
        <v>125366.85008377238</v>
      </c>
      <c r="G29" s="45"/>
      <c r="H29" s="46">
        <f>'Provozní aktiva A+T'!D75/1000</f>
        <v>125366.85008377238</v>
      </c>
      <c r="I29" s="45"/>
    </row>
    <row r="30" spans="1:9">
      <c r="A30" s="449" t="s">
        <v>23</v>
      </c>
      <c r="B30" s="450"/>
      <c r="C30" s="47">
        <v>22</v>
      </c>
      <c r="D30" s="40">
        <v>1402.39978</v>
      </c>
      <c r="E30" s="37"/>
      <c r="F30" s="38">
        <f>F29/100</f>
        <v>1253.6685008377237</v>
      </c>
      <c r="G30" s="37">
        <f t="shared" si="1"/>
        <v>1.02394199463205</v>
      </c>
      <c r="H30" s="38">
        <f>H29/100</f>
        <v>1253.6685008377237</v>
      </c>
      <c r="I30" s="37">
        <f t="shared" si="2"/>
        <v>1.1610541058396209</v>
      </c>
    </row>
    <row r="31" spans="1:9" s="2" customFormat="1" ht="15">
      <c r="A31" s="449" t="s">
        <v>24</v>
      </c>
      <c r="B31" s="464"/>
      <c r="C31" s="47">
        <v>23</v>
      </c>
      <c r="D31" s="40">
        <v>43012.447090000016</v>
      </c>
      <c r="E31" s="49">
        <f>D31/$D$35</f>
        <v>35.537373746637329</v>
      </c>
      <c r="F31" s="54">
        <f>F24-F28+F30</f>
        <v>60344.661727659302</v>
      </c>
      <c r="G31" s="55">
        <f t="shared" si="1"/>
        <v>49.286899410431865</v>
      </c>
      <c r="H31" s="56">
        <f>H24-H28+H30</f>
        <v>55930.478266265673</v>
      </c>
      <c r="I31" s="57">
        <f t="shared" si="2"/>
        <v>51.798630490618926</v>
      </c>
    </row>
    <row r="32" spans="1:9">
      <c r="A32" s="447" t="s">
        <v>25</v>
      </c>
      <c r="B32" s="448"/>
      <c r="C32" s="41">
        <v>24</v>
      </c>
      <c r="D32" s="36"/>
      <c r="E32" s="48"/>
      <c r="F32" s="36"/>
      <c r="G32" s="48"/>
      <c r="H32" s="36"/>
      <c r="I32" s="48"/>
    </row>
    <row r="33" spans="1:10">
      <c r="A33" s="447" t="s">
        <v>26</v>
      </c>
      <c r="B33" s="448"/>
      <c r="C33" s="41">
        <v>25</v>
      </c>
      <c r="D33" s="38"/>
      <c r="E33" s="48"/>
      <c r="F33" s="36"/>
      <c r="G33" s="48"/>
      <c r="H33" s="36"/>
      <c r="I33" s="48"/>
    </row>
    <row r="34" spans="1:10">
      <c r="A34" s="447"/>
      <c r="B34" s="448"/>
      <c r="C34" s="41"/>
      <c r="D34" s="38"/>
      <c r="E34" s="38"/>
      <c r="F34" s="36"/>
      <c r="G34" s="38"/>
      <c r="H34" s="36"/>
      <c r="I34" s="38"/>
    </row>
    <row r="35" spans="1:10">
      <c r="A35" s="449" t="s">
        <v>27</v>
      </c>
      <c r="B35" s="450"/>
      <c r="C35" s="47">
        <v>26</v>
      </c>
      <c r="D35" s="443">
        <v>1210.3440000000001</v>
      </c>
      <c r="E35" s="444"/>
      <c r="F35" s="443">
        <f>1224355/1000</f>
        <v>1224.355</v>
      </c>
      <c r="G35" s="444"/>
      <c r="H35" s="443">
        <f>'změna výkonu '!D4/1000</f>
        <v>1079.7675099999999</v>
      </c>
      <c r="I35" s="444"/>
    </row>
    <row r="36" spans="1:10">
      <c r="A36" s="451" t="s">
        <v>28</v>
      </c>
      <c r="B36" s="452"/>
      <c r="C36" s="41">
        <v>27</v>
      </c>
      <c r="D36" s="445"/>
      <c r="E36" s="446"/>
      <c r="F36" s="445"/>
      <c r="G36" s="446"/>
      <c r="H36" s="445"/>
      <c r="I36" s="446"/>
    </row>
    <row r="39" spans="1:10">
      <c r="H39" s="40">
        <f>H43/2</f>
        <v>-18.307781130413332</v>
      </c>
      <c r="I39" s="37" t="s">
        <v>982</v>
      </c>
      <c r="J39" s="300"/>
    </row>
    <row r="40" spans="1:10">
      <c r="H40" s="56">
        <f>H31+H39</f>
        <v>55912.170485135262</v>
      </c>
      <c r="I40" s="57">
        <f>H40/H35</f>
        <v>51.78167519148198</v>
      </c>
      <c r="J40" s="300" t="s">
        <v>983</v>
      </c>
    </row>
    <row r="43" spans="1:10">
      <c r="H43" s="40">
        <f>'Energie - plán 2023'!D11/1000-H9-H10-H11</f>
        <v>-36.615562260826664</v>
      </c>
      <c r="I43" s="37" t="s">
        <v>981</v>
      </c>
    </row>
    <row r="44" spans="1:10">
      <c r="H44" s="56">
        <f>H31+H43</f>
        <v>55893.862704004845</v>
      </c>
      <c r="I44" s="57">
        <f>H44/H35</f>
        <v>51.76471989234502</v>
      </c>
      <c r="J44" s="300" t="s">
        <v>983</v>
      </c>
    </row>
    <row r="45" spans="1:10">
      <c r="J45" s="300"/>
    </row>
  </sheetData>
  <mergeCells count="24">
    <mergeCell ref="A33:B33"/>
    <mergeCell ref="A32:B32"/>
    <mergeCell ref="A1:E1"/>
    <mergeCell ref="A7:B8"/>
    <mergeCell ref="C7:C8"/>
    <mergeCell ref="D7:E7"/>
    <mergeCell ref="A9:A23"/>
    <mergeCell ref="A24:B24"/>
    <mergeCell ref="A25:A27"/>
    <mergeCell ref="A28:B28"/>
    <mergeCell ref="A29:B29"/>
    <mergeCell ref="A30:B30"/>
    <mergeCell ref="A31:B31"/>
    <mergeCell ref="A34:B34"/>
    <mergeCell ref="A35:B35"/>
    <mergeCell ref="D35:E35"/>
    <mergeCell ref="A36:B36"/>
    <mergeCell ref="D36:E36"/>
    <mergeCell ref="F35:G35"/>
    <mergeCell ref="H35:I35"/>
    <mergeCell ref="F7:G7"/>
    <mergeCell ref="H7:I7"/>
    <mergeCell ref="F36:G36"/>
    <mergeCell ref="H36:I36"/>
  </mergeCells>
  <pageMargins left="0.7" right="0.7" top="0.78740157499999996" bottom="0.78740157499999996" header="0.3" footer="0.3"/>
  <pageSetup paperSize="9" scale="8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K46"/>
  <sheetViews>
    <sheetView zoomScaleNormal="100" workbookViewId="0">
      <pane xSplit="3" ySplit="8" topLeftCell="D9" activePane="bottomRight" state="frozen"/>
      <selection activeCell="H11" sqref="H11"/>
      <selection pane="topRight" activeCell="H11" sqref="H11"/>
      <selection pane="bottomLeft" activeCell="H11" sqref="H11"/>
      <selection pane="bottomRight" activeCell="F44" sqref="F44"/>
    </sheetView>
  </sheetViews>
  <sheetFormatPr defaultColWidth="8.75" defaultRowHeight="14.25"/>
  <cols>
    <col min="1" max="1" width="8.75" style="4"/>
    <col min="2" max="2" width="27.375" style="4" bestFit="1" customWidth="1"/>
    <col min="3" max="3" width="8.75" style="4"/>
    <col min="4" max="9" width="12.625" style="4" customWidth="1"/>
    <col min="10" max="16384" width="8.75" style="4"/>
  </cols>
  <sheetData>
    <row r="1" spans="1:11">
      <c r="A1" s="453" t="s">
        <v>35</v>
      </c>
      <c r="B1" s="454"/>
      <c r="C1" s="454"/>
      <c r="D1" s="454"/>
      <c r="E1" s="454"/>
    </row>
    <row r="2" spans="1:11">
      <c r="A2" s="30"/>
      <c r="B2" s="30"/>
      <c r="C2" s="30"/>
      <c r="D2" s="30"/>
      <c r="E2" s="30"/>
      <c r="F2" s="30"/>
      <c r="G2" s="30"/>
      <c r="H2" s="30"/>
      <c r="I2" s="30"/>
    </row>
    <row r="3" spans="1:11">
      <c r="A3" s="30" t="s">
        <v>0</v>
      </c>
      <c r="B3" s="30"/>
      <c r="C3" s="30"/>
      <c r="D3" s="30"/>
      <c r="E3" s="30"/>
      <c r="F3" s="30"/>
      <c r="G3" s="30"/>
      <c r="H3" s="30"/>
      <c r="I3" s="30"/>
    </row>
    <row r="4" spans="1:11">
      <c r="A4" s="30" t="s">
        <v>1</v>
      </c>
      <c r="B4" s="30"/>
      <c r="C4" s="30"/>
      <c r="D4" s="30" t="s">
        <v>34</v>
      </c>
      <c r="E4" s="30"/>
      <c r="F4" s="30"/>
      <c r="G4" s="30"/>
      <c r="H4" s="30"/>
      <c r="I4" s="30"/>
    </row>
    <row r="5" spans="1:11">
      <c r="A5" s="30" t="s">
        <v>208</v>
      </c>
      <c r="B5" s="31"/>
      <c r="C5" s="31"/>
      <c r="D5" s="30"/>
      <c r="E5" s="30"/>
      <c r="F5" s="30"/>
      <c r="G5" s="30"/>
      <c r="H5" s="30"/>
      <c r="I5" s="30"/>
    </row>
    <row r="6" spans="1:11">
      <c r="A6" s="30"/>
      <c r="B6" s="30"/>
      <c r="C6" s="30"/>
      <c r="D6" s="32"/>
      <c r="E6" s="32"/>
      <c r="F6" s="32"/>
      <c r="G6" s="32"/>
      <c r="H6" s="66"/>
      <c r="I6" s="32"/>
    </row>
    <row r="7" spans="1:11">
      <c r="A7" s="455" t="s">
        <v>2</v>
      </c>
      <c r="B7" s="456"/>
      <c r="C7" s="457" t="s">
        <v>3</v>
      </c>
      <c r="D7" s="434" t="s">
        <v>138</v>
      </c>
      <c r="E7" s="435"/>
      <c r="F7" s="436" t="s">
        <v>245</v>
      </c>
      <c r="G7" s="437"/>
      <c r="H7" s="432" t="s">
        <v>246</v>
      </c>
      <c r="I7" s="433"/>
    </row>
    <row r="8" spans="1:11">
      <c r="A8" s="456"/>
      <c r="B8" s="456"/>
      <c r="C8" s="457"/>
      <c r="D8" s="33" t="s">
        <v>31</v>
      </c>
      <c r="E8" s="34" t="s">
        <v>139</v>
      </c>
      <c r="F8" s="50" t="s">
        <v>80</v>
      </c>
      <c r="G8" s="51" t="s">
        <v>139</v>
      </c>
      <c r="H8" s="52" t="s">
        <v>80</v>
      </c>
      <c r="I8" s="53" t="s">
        <v>139</v>
      </c>
    </row>
    <row r="9" spans="1:11">
      <c r="A9" s="458" t="s">
        <v>30</v>
      </c>
      <c r="B9" s="35" t="s">
        <v>38</v>
      </c>
      <c r="C9" s="35">
        <v>1</v>
      </c>
      <c r="D9" s="36">
        <v>8782.5088999999989</v>
      </c>
      <c r="E9" s="37">
        <f t="shared" ref="E9:E20" si="0">D9/$D$36</f>
        <v>5.3894772595893619</v>
      </c>
      <c r="F9" s="36">
        <f>D9*'index PHM a energie'!F22</f>
        <v>14007.886354588014</v>
      </c>
      <c r="G9" s="37">
        <f t="shared" ref="G9:G20" si="1">F9/$F$36</f>
        <v>8.7964647787446442</v>
      </c>
      <c r="H9" s="321">
        <f>F9*'změna výkonu '!L6</f>
        <v>13921.606513078987</v>
      </c>
      <c r="I9" s="37">
        <f t="shared" ref="I9:I20" si="2">H9/$H$36</f>
        <v>8.5960840828711547</v>
      </c>
    </row>
    <row r="10" spans="1:11">
      <c r="A10" s="459"/>
      <c r="B10" s="35" t="s">
        <v>39</v>
      </c>
      <c r="C10" s="35">
        <v>2</v>
      </c>
      <c r="D10" s="36">
        <v>1467.0781499999998</v>
      </c>
      <c r="E10" s="37">
        <f t="shared" si="0"/>
        <v>0.90028765327700733</v>
      </c>
      <c r="F10" s="36">
        <f>D10*'index bazický'!$C$9</f>
        <v>1875.526044034091</v>
      </c>
      <c r="G10" s="37">
        <f t="shared" si="1"/>
        <v>1.1777650368044681</v>
      </c>
      <c r="H10" s="321">
        <f>F10*'změna výkonu '!L6</f>
        <v>1863.9739735982603</v>
      </c>
      <c r="I10" s="37">
        <f t="shared" si="2"/>
        <v>1.1509359203825382</v>
      </c>
      <c r="K10" s="358"/>
    </row>
    <row r="11" spans="1:11">
      <c r="A11" s="459"/>
      <c r="B11" s="35" t="s">
        <v>7</v>
      </c>
      <c r="C11" s="35">
        <v>3</v>
      </c>
      <c r="D11" s="36">
        <v>8984.0441099999989</v>
      </c>
      <c r="E11" s="37">
        <f t="shared" si="0"/>
        <v>5.5131514219123368</v>
      </c>
      <c r="F11" s="36">
        <f>D11*'index bazický'!$C$9</f>
        <v>11485.283663352273</v>
      </c>
      <c r="G11" s="37">
        <f t="shared" si="1"/>
        <v>7.2123581432026054</v>
      </c>
      <c r="H11" s="180">
        <f>(0.75*'změna výkonu '!L6*'výchozí model A'!F11)+((1-0.75)*'výchozí model A'!F11)</f>
        <v>11432.227026411701</v>
      </c>
      <c r="I11" s="37">
        <f t="shared" si="2"/>
        <v>7.0589830764993042</v>
      </c>
    </row>
    <row r="12" spans="1:11">
      <c r="A12" s="459"/>
      <c r="B12" s="35" t="s">
        <v>8</v>
      </c>
      <c r="C12" s="35">
        <v>4</v>
      </c>
      <c r="D12" s="36">
        <v>5463.99</v>
      </c>
      <c r="E12" s="37">
        <f t="shared" si="0"/>
        <v>3.3530338752772209</v>
      </c>
      <c r="F12" s="36">
        <f>D12*'index bazický'!$C$9</f>
        <v>6985.214488636364</v>
      </c>
      <c r="G12" s="37">
        <f t="shared" si="1"/>
        <v>4.3864714251583976</v>
      </c>
      <c r="H12" s="321">
        <f>F12*'změna výkonu '!L6</f>
        <v>6942.1899249206035</v>
      </c>
      <c r="I12" s="37">
        <f t="shared" si="2"/>
        <v>4.286548988280539</v>
      </c>
    </row>
    <row r="13" spans="1:11">
      <c r="A13" s="459"/>
      <c r="B13" s="35" t="s">
        <v>9</v>
      </c>
      <c r="C13" s="35">
        <v>5</v>
      </c>
      <c r="D13" s="36">
        <v>0</v>
      </c>
      <c r="E13" s="37">
        <f t="shared" si="0"/>
        <v>0</v>
      </c>
      <c r="F13" s="36">
        <f>D13*'index bazický'!$C$9</f>
        <v>0</v>
      </c>
      <c r="G13" s="37">
        <f t="shared" si="1"/>
        <v>0</v>
      </c>
      <c r="H13" s="36">
        <f>F13</f>
        <v>0</v>
      </c>
      <c r="I13" s="37">
        <f t="shared" si="2"/>
        <v>0</v>
      </c>
    </row>
    <row r="14" spans="1:11">
      <c r="A14" s="459"/>
      <c r="B14" s="35" t="s">
        <v>10</v>
      </c>
      <c r="C14" s="35">
        <v>6</v>
      </c>
      <c r="D14" s="36">
        <v>22208.790799999995</v>
      </c>
      <c r="E14" s="37">
        <f t="shared" si="0"/>
        <v>13.628653764253793</v>
      </c>
      <c r="F14" s="36">
        <f>D14/100*'index mzdy'!B11</f>
        <v>27383.12634289066</v>
      </c>
      <c r="G14" s="37">
        <f t="shared" si="1"/>
        <v>17.195649672604493</v>
      </c>
      <c r="H14" s="321">
        <f>F14*'změna výkonu '!L6</f>
        <v>27214.463366829863</v>
      </c>
      <c r="I14" s="37">
        <f t="shared" si="2"/>
        <v>16.803938191451383</v>
      </c>
    </row>
    <row r="15" spans="1:11">
      <c r="A15" s="459"/>
      <c r="B15" s="35" t="s">
        <v>11</v>
      </c>
      <c r="C15" s="35">
        <v>7</v>
      </c>
      <c r="D15" s="36">
        <v>7438.1817199999996</v>
      </c>
      <c r="E15" s="37">
        <f t="shared" si="0"/>
        <v>4.5645170063685665</v>
      </c>
      <c r="F15" s="36">
        <f>D15/100*'index mzdy'!C22</f>
        <v>9117.2252481697542</v>
      </c>
      <c r="G15" s="37">
        <f t="shared" si="1"/>
        <v>5.7252999307164485</v>
      </c>
      <c r="H15" s="321">
        <f>F15*'změna výkonu '!L6</f>
        <v>9061.0688281716339</v>
      </c>
      <c r="I15" s="37">
        <f t="shared" si="2"/>
        <v>5.5948794023499238</v>
      </c>
    </row>
    <row r="16" spans="1:11">
      <c r="A16" s="459"/>
      <c r="B16" s="35" t="s">
        <v>12</v>
      </c>
      <c r="C16" s="35">
        <v>8</v>
      </c>
      <c r="D16" s="36">
        <v>7.5480400000000003</v>
      </c>
      <c r="E16" s="37">
        <f t="shared" si="0"/>
        <v>4.6319326740985028E-3</v>
      </c>
      <c r="F16" s="36">
        <f>D16*'index bazický'!$C$9</f>
        <v>9.6494829545454568</v>
      </c>
      <c r="G16" s="37">
        <f t="shared" si="1"/>
        <v>6.0595392334086623E-3</v>
      </c>
      <c r="H16" s="36">
        <f>F16</f>
        <v>9.6494829545454568</v>
      </c>
      <c r="I16" s="37">
        <f t="shared" si="2"/>
        <v>5.958203656709982E-3</v>
      </c>
    </row>
    <row r="17" spans="1:9">
      <c r="A17" s="459"/>
      <c r="B17" s="35" t="s">
        <v>40</v>
      </c>
      <c r="C17" s="35">
        <v>9</v>
      </c>
      <c r="D17" s="36">
        <v>0</v>
      </c>
      <c r="E17" s="37">
        <f t="shared" si="0"/>
        <v>0</v>
      </c>
      <c r="F17" s="36">
        <f>D17*'index bazický'!$C$9</f>
        <v>0</v>
      </c>
      <c r="G17" s="37">
        <f t="shared" si="1"/>
        <v>0</v>
      </c>
      <c r="H17" s="36">
        <f>F17</f>
        <v>0</v>
      </c>
      <c r="I17" s="37">
        <f t="shared" si="2"/>
        <v>0</v>
      </c>
    </row>
    <row r="18" spans="1:9">
      <c r="A18" s="459"/>
      <c r="B18" s="35" t="s">
        <v>41</v>
      </c>
      <c r="C18" s="35">
        <v>10</v>
      </c>
      <c r="D18" s="36">
        <v>12.51</v>
      </c>
      <c r="E18" s="37">
        <f t="shared" si="0"/>
        <v>7.6768906567760984E-3</v>
      </c>
      <c r="F18" s="36">
        <f>D18*'index bazický'!$C$9</f>
        <v>15.992897727272728</v>
      </c>
      <c r="G18" s="37">
        <f t="shared" si="1"/>
        <v>1.0042982788901802E-2</v>
      </c>
      <c r="H18" s="36">
        <f>F18</f>
        <v>15.992897727272728</v>
      </c>
      <c r="I18" s="37">
        <f t="shared" si="2"/>
        <v>9.8750308352157454E-3</v>
      </c>
    </row>
    <row r="19" spans="1:9">
      <c r="A19" s="459"/>
      <c r="B19" s="35" t="s">
        <v>42</v>
      </c>
      <c r="C19" s="35">
        <v>11</v>
      </c>
      <c r="D19" s="36">
        <v>0</v>
      </c>
      <c r="E19" s="37">
        <f t="shared" si="0"/>
        <v>0</v>
      </c>
      <c r="F19" s="36">
        <f>D19*'index bazický'!$C$9</f>
        <v>0</v>
      </c>
      <c r="G19" s="37">
        <f t="shared" si="1"/>
        <v>0</v>
      </c>
      <c r="H19" s="36">
        <f>F19</f>
        <v>0</v>
      </c>
      <c r="I19" s="37">
        <f t="shared" si="2"/>
        <v>0</v>
      </c>
    </row>
    <row r="20" spans="1:9">
      <c r="A20" s="459"/>
      <c r="B20" s="35" t="s">
        <v>43</v>
      </c>
      <c r="C20" s="35">
        <v>12</v>
      </c>
      <c r="D20" s="36">
        <v>669.63593999999989</v>
      </c>
      <c r="E20" s="37">
        <f t="shared" si="0"/>
        <v>0.41092900809172495</v>
      </c>
      <c r="F20" s="36">
        <f>D20*'index bazický'!$C$9</f>
        <v>856.06867329545446</v>
      </c>
      <c r="G20" s="37">
        <f t="shared" si="1"/>
        <v>0.53758131256995034</v>
      </c>
      <c r="H20" s="321">
        <f>F20*'změna výkonu '!L6</f>
        <v>850.79582430288804</v>
      </c>
      <c r="I20" s="37">
        <f t="shared" si="2"/>
        <v>0.52533537966271671</v>
      </c>
    </row>
    <row r="21" spans="1:9">
      <c r="A21" s="459"/>
      <c r="B21" s="35" t="s">
        <v>15</v>
      </c>
      <c r="C21" s="35">
        <v>13</v>
      </c>
      <c r="D21" s="36">
        <v>3551.5727299999999</v>
      </c>
      <c r="E21" s="37"/>
      <c r="F21" s="36">
        <f>D21*'index bazický'!$C$9</f>
        <v>4540.3628650568189</v>
      </c>
      <c r="G21" s="37"/>
      <c r="H21" s="321">
        <f>F21*'změna výkonu '!L6</f>
        <v>4512.3970621887602</v>
      </c>
      <c r="I21" s="37"/>
    </row>
    <row r="22" spans="1:9">
      <c r="A22" s="459"/>
      <c r="B22" s="35" t="s">
        <v>44</v>
      </c>
      <c r="C22" s="35">
        <v>14</v>
      </c>
      <c r="D22" s="36">
        <v>0</v>
      </c>
      <c r="E22" s="37"/>
      <c r="F22" s="36">
        <f>D22*'index bazický'!$C$9</f>
        <v>0</v>
      </c>
      <c r="G22" s="37"/>
      <c r="H22" s="180">
        <f>(0.75*'změna výkonu '!J17*'výchozí model A'!F22)+((1-0.75)*('změna výkonu '!J15/'změna výkonu '!J16)*'výchozí model A'!F22)</f>
        <v>0</v>
      </c>
      <c r="I22" s="37"/>
    </row>
    <row r="23" spans="1:9">
      <c r="A23" s="459"/>
      <c r="B23" s="35" t="s">
        <v>17</v>
      </c>
      <c r="C23" s="35">
        <v>15</v>
      </c>
      <c r="D23" s="36">
        <v>1920.62544</v>
      </c>
      <c r="E23" s="37">
        <f t="shared" ref="E23:E29" si="3">D23/$D$36</f>
        <v>1.17861163033593</v>
      </c>
      <c r="F23" s="36">
        <f>D23*'index bazický'!$C$9</f>
        <v>2455.3450227272729</v>
      </c>
      <c r="G23" s="37">
        <f t="shared" ref="G23:G29" si="4">F23/$F$36</f>
        <v>1.5418711620980774</v>
      </c>
      <c r="H23" s="320">
        <f>F23</f>
        <v>2455.3450227272729</v>
      </c>
      <c r="I23" s="37">
        <f t="shared" ref="I23:I29" si="5">H23/$H$36</f>
        <v>1.5160859666586579</v>
      </c>
    </row>
    <row r="24" spans="1:9">
      <c r="A24" s="460"/>
      <c r="B24" s="35" t="s">
        <v>18</v>
      </c>
      <c r="C24" s="35">
        <v>16</v>
      </c>
      <c r="D24" s="36">
        <v>6882.2831299999998</v>
      </c>
      <c r="E24" s="37">
        <f t="shared" si="3"/>
        <v>4.223384097360892</v>
      </c>
      <c r="F24" s="36">
        <f>D24*'index bazický'!$C$9</f>
        <v>8798.3733196022731</v>
      </c>
      <c r="G24" s="37">
        <f t="shared" si="4"/>
        <v>5.5250720242157652</v>
      </c>
      <c r="H24" s="320">
        <f>F24</f>
        <v>8798.3733196022731</v>
      </c>
      <c r="I24" s="37">
        <f t="shared" si="5"/>
        <v>5.4326745104264695</v>
      </c>
    </row>
    <row r="25" spans="1:9">
      <c r="A25" s="449" t="s">
        <v>45</v>
      </c>
      <c r="B25" s="450"/>
      <c r="C25" s="39">
        <v>17</v>
      </c>
      <c r="D25" s="40">
        <v>67388.768960000001</v>
      </c>
      <c r="E25" s="37">
        <f t="shared" si="3"/>
        <v>41.353813813002972</v>
      </c>
      <c r="F25" s="40">
        <f>SUM(F9:F24)</f>
        <v>87530.054403034796</v>
      </c>
      <c r="G25" s="37">
        <f t="shared" si="4"/>
        <v>54.965825760409182</v>
      </c>
      <c r="H25" s="40">
        <f>SUM(H9:H24)</f>
        <v>87078.083242514054</v>
      </c>
      <c r="I25" s="37">
        <f t="shared" si="5"/>
        <v>53.767539301206334</v>
      </c>
    </row>
    <row r="26" spans="1:9">
      <c r="A26" s="461" t="s">
        <v>36</v>
      </c>
      <c r="B26" s="41" t="s">
        <v>19</v>
      </c>
      <c r="C26" s="41">
        <v>18</v>
      </c>
      <c r="D26" s="36">
        <v>17460.94745</v>
      </c>
      <c r="E26" s="37">
        <f t="shared" si="3"/>
        <v>10.715090674449515</v>
      </c>
      <c r="F26" s="36">
        <f>D26*'index bazický'!$C$9</f>
        <v>22322.233955965912</v>
      </c>
      <c r="G26" s="37">
        <f t="shared" si="4"/>
        <v>14.01758550905426</v>
      </c>
      <c r="H26" s="180">
        <f>(0.75*'změna výkonu '!J17*'výchozí model A'!F26)+((1-0.75)*('změna výkonu '!J15/'změna výkonu '!J16)*'výchozí model A'!F26)</f>
        <v>22609.678903192522</v>
      </c>
      <c r="I26" s="37">
        <f t="shared" si="5"/>
        <v>13.960651793740169</v>
      </c>
    </row>
    <row r="27" spans="1:9">
      <c r="A27" s="462"/>
      <c r="B27" s="41" t="s">
        <v>20</v>
      </c>
      <c r="C27" s="41">
        <v>19</v>
      </c>
      <c r="D27" s="36">
        <v>0</v>
      </c>
      <c r="E27" s="37">
        <f t="shared" si="3"/>
        <v>0</v>
      </c>
      <c r="F27" s="36">
        <f>D27*'index bazický'!$C$9</f>
        <v>0</v>
      </c>
      <c r="G27" s="37">
        <f t="shared" si="4"/>
        <v>0</v>
      </c>
      <c r="H27" s="180">
        <f>(0.75*'změna výkonu '!J17*'výchozí model A'!F27)+((1-0.75)*('změna výkonu '!J15/'změna výkonu '!J16)*'výchozí model A'!F27)</f>
        <v>0</v>
      </c>
      <c r="I27" s="37">
        <f t="shared" si="5"/>
        <v>0</v>
      </c>
    </row>
    <row r="28" spans="1:9">
      <c r="A28" s="463"/>
      <c r="B28" s="42" t="s">
        <v>21</v>
      </c>
      <c r="C28" s="41">
        <v>20</v>
      </c>
      <c r="D28" s="36">
        <v>1645.36068</v>
      </c>
      <c r="E28" s="37">
        <f t="shared" si="3"/>
        <v>1.009692568450741</v>
      </c>
      <c r="F28" s="36">
        <f>D28*'index bazický'!$C$9</f>
        <v>2103.4440511363637</v>
      </c>
      <c r="G28" s="37">
        <f t="shared" si="4"/>
        <v>1.3208896075760004</v>
      </c>
      <c r="H28" s="321">
        <f>F28*'změna výkonu '!L6</f>
        <v>2090.4881479571727</v>
      </c>
      <c r="I28" s="37">
        <f t="shared" si="5"/>
        <v>1.2908001585307767</v>
      </c>
    </row>
    <row r="29" spans="1:9">
      <c r="A29" s="449" t="s">
        <v>46</v>
      </c>
      <c r="B29" s="450"/>
      <c r="C29" s="43">
        <v>21</v>
      </c>
      <c r="D29" s="40">
        <v>19106.308130000001</v>
      </c>
      <c r="E29" s="37">
        <f t="shared" si="3"/>
        <v>11.724783242900257</v>
      </c>
      <c r="F29" s="40">
        <f>SUM(F26:F28)</f>
        <v>24425.678007102277</v>
      </c>
      <c r="G29" s="37">
        <f t="shared" si="4"/>
        <v>15.338475116630262</v>
      </c>
      <c r="H29" s="40">
        <f>SUM(H26:H28)</f>
        <v>24700.167051149696</v>
      </c>
      <c r="I29" s="37">
        <f t="shared" si="5"/>
        <v>15.251451952270946</v>
      </c>
    </row>
    <row r="30" spans="1:9">
      <c r="A30" s="447" t="s">
        <v>22</v>
      </c>
      <c r="B30" s="448"/>
      <c r="C30" s="44">
        <v>22</v>
      </c>
      <c r="D30" s="36">
        <v>33303.758999999998</v>
      </c>
      <c r="E30" s="45"/>
      <c r="F30" s="36">
        <f>'Provozní aktiva A+T'!E75/1000</f>
        <v>45999.908576227506</v>
      </c>
      <c r="G30" s="45"/>
      <c r="H30" s="36">
        <f>'Provozní aktiva A+T'!E75/1000</f>
        <v>45999.908576227506</v>
      </c>
      <c r="I30" s="45"/>
    </row>
    <row r="31" spans="1:9">
      <c r="A31" s="449" t="s">
        <v>23</v>
      </c>
      <c r="B31" s="450"/>
      <c r="C31" s="47">
        <v>23</v>
      </c>
      <c r="D31" s="40">
        <v>333.03758999999997</v>
      </c>
      <c r="E31" s="37"/>
      <c r="F31" s="40">
        <f>F30/100</f>
        <v>459.99908576227506</v>
      </c>
      <c r="G31" s="37"/>
      <c r="H31" s="40">
        <f>H30/100</f>
        <v>459.99908576227506</v>
      </c>
      <c r="I31" s="37"/>
    </row>
    <row r="32" spans="1:9">
      <c r="A32" s="449" t="s">
        <v>24</v>
      </c>
      <c r="B32" s="450"/>
      <c r="C32" s="47">
        <v>24</v>
      </c>
      <c r="D32" s="40">
        <v>48615.498420000004</v>
      </c>
      <c r="E32" s="49">
        <f>D32/$D$36</f>
        <v>29.833402525580432</v>
      </c>
      <c r="F32" s="54">
        <f>F25-F29+F31</f>
        <v>63564.375481694791</v>
      </c>
      <c r="G32" s="55">
        <f>F32/$F$36</f>
        <v>39.916214049273158</v>
      </c>
      <c r="H32" s="56">
        <f>H25-H29+H31</f>
        <v>62837.915277126638</v>
      </c>
      <c r="I32" s="57">
        <f>H32/$H$36</f>
        <v>38.800120001024894</v>
      </c>
    </row>
    <row r="33" spans="1:10">
      <c r="A33" s="447" t="s">
        <v>25</v>
      </c>
      <c r="B33" s="448"/>
      <c r="C33" s="41">
        <v>25</v>
      </c>
      <c r="D33" s="36"/>
      <c r="E33" s="48"/>
      <c r="F33" s="36"/>
      <c r="G33" s="48"/>
      <c r="H33" s="36"/>
      <c r="I33" s="48"/>
    </row>
    <row r="34" spans="1:10">
      <c r="A34" s="447" t="s">
        <v>26</v>
      </c>
      <c r="B34" s="448"/>
      <c r="C34" s="41">
        <v>26</v>
      </c>
      <c r="D34" s="38"/>
      <c r="E34" s="48"/>
      <c r="F34" s="38"/>
      <c r="G34" s="48"/>
      <c r="H34" s="38"/>
      <c r="I34" s="48"/>
    </row>
    <row r="35" spans="1:10">
      <c r="A35" s="447"/>
      <c r="B35" s="448"/>
      <c r="C35" s="41"/>
      <c r="D35" s="38"/>
      <c r="E35" s="38"/>
      <c r="F35" s="38"/>
      <c r="G35" s="38"/>
      <c r="H35" s="38"/>
      <c r="I35" s="38"/>
    </row>
    <row r="36" spans="1:10">
      <c r="A36" s="449" t="s">
        <v>27</v>
      </c>
      <c r="B36" s="450"/>
      <c r="C36" s="47">
        <v>27</v>
      </c>
      <c r="D36" s="443">
        <v>1629.566</v>
      </c>
      <c r="E36" s="444"/>
      <c r="F36" s="443">
        <f>1592445/1000</f>
        <v>1592.4449999999999</v>
      </c>
      <c r="G36" s="444"/>
      <c r="H36" s="443">
        <f>'změna výkonu '!L4/1000</f>
        <v>1619.5288899999998</v>
      </c>
      <c r="I36" s="444"/>
    </row>
    <row r="37" spans="1:10">
      <c r="A37" s="451" t="s">
        <v>28</v>
      </c>
      <c r="B37" s="452"/>
      <c r="C37" s="41">
        <v>28</v>
      </c>
      <c r="D37" s="445"/>
      <c r="E37" s="446"/>
      <c r="F37" s="445"/>
      <c r="G37" s="446"/>
      <c r="H37" s="445"/>
      <c r="I37" s="446"/>
    </row>
    <row r="40" spans="1:10">
      <c r="H40" s="40">
        <f>H44/2</f>
        <v>6655.724756661376</v>
      </c>
      <c r="I40" s="37" t="s">
        <v>982</v>
      </c>
      <c r="J40" s="300"/>
    </row>
    <row r="41" spans="1:10">
      <c r="H41" s="56">
        <f>H32+H40</f>
        <v>69493.640033788019</v>
      </c>
      <c r="I41" s="57">
        <f>H41/H36</f>
        <v>42.909787199775131</v>
      </c>
      <c r="J41" s="300" t="s">
        <v>983</v>
      </c>
    </row>
    <row r="44" spans="1:10">
      <c r="H44" s="40">
        <f>'Energie - plán 2023'!G10/1000-H9-H10</f>
        <v>13311.449513322752</v>
      </c>
      <c r="I44" s="37" t="s">
        <v>981</v>
      </c>
    </row>
    <row r="45" spans="1:10">
      <c r="H45" s="56">
        <f>H32+H44</f>
        <v>76149.364790449385</v>
      </c>
      <c r="I45" s="57">
        <f>H45/H36</f>
        <v>47.019454398525362</v>
      </c>
      <c r="J45" s="300" t="s">
        <v>983</v>
      </c>
    </row>
    <row r="46" spans="1:10">
      <c r="J46" s="300"/>
    </row>
  </sheetData>
  <mergeCells count="24">
    <mergeCell ref="F37:G37"/>
    <mergeCell ref="H37:I37"/>
    <mergeCell ref="A1:E1"/>
    <mergeCell ref="A7:B8"/>
    <mergeCell ref="C7:C8"/>
    <mergeCell ref="D7:E7"/>
    <mergeCell ref="A9:A24"/>
    <mergeCell ref="A37:B37"/>
    <mergeCell ref="D37:E37"/>
    <mergeCell ref="D36:E36"/>
    <mergeCell ref="A31:B31"/>
    <mergeCell ref="A25:B25"/>
    <mergeCell ref="A26:A28"/>
    <mergeCell ref="A29:B29"/>
    <mergeCell ref="A30:B30"/>
    <mergeCell ref="A32:B32"/>
    <mergeCell ref="F7:G7"/>
    <mergeCell ref="H36:I36"/>
    <mergeCell ref="H7:I7"/>
    <mergeCell ref="A33:B33"/>
    <mergeCell ref="A34:B34"/>
    <mergeCell ref="A35:B35"/>
    <mergeCell ref="A36:B36"/>
    <mergeCell ref="F36:G36"/>
  </mergeCells>
  <pageMargins left="0.7" right="0.7" top="0.78740157499999996" bottom="0.78740157499999996" header="0.3" footer="0.3"/>
  <pageSetup paperSize="9" scale="8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zoomScaleNormal="100" workbookViewId="0">
      <selection activeCell="D13" sqref="D13"/>
    </sheetView>
  </sheetViews>
  <sheetFormatPr defaultColWidth="8.75" defaultRowHeight="14.25"/>
  <cols>
    <col min="1" max="1" width="2.25" style="353" customWidth="1"/>
    <col min="2" max="2" width="4" style="353" customWidth="1"/>
    <col min="3" max="3" width="20" style="353" customWidth="1"/>
    <col min="4" max="4" width="10.125" style="353" bestFit="1" customWidth="1"/>
    <col min="5" max="5" width="10.625" style="353" customWidth="1"/>
    <col min="6" max="6" width="10.125" style="353" bestFit="1" customWidth="1"/>
    <col min="7" max="7" width="11.25" style="353" customWidth="1"/>
    <col min="8" max="8" width="8.75" style="353"/>
    <col min="9" max="9" width="9.875" style="353" bestFit="1" customWidth="1"/>
    <col min="10" max="16384" width="8.75" style="353"/>
  </cols>
  <sheetData>
    <row r="1" spans="1:10" s="414" customFormat="1" ht="15">
      <c r="A1" s="413"/>
      <c r="B1" s="469" t="s">
        <v>985</v>
      </c>
      <c r="C1" s="469"/>
      <c r="D1" s="469"/>
      <c r="E1" s="469"/>
      <c r="F1" s="469"/>
      <c r="G1" s="469"/>
    </row>
    <row r="2" spans="1:10" s="414" customFormat="1">
      <c r="A2" s="413"/>
      <c r="B2" s="413"/>
      <c r="C2" s="413"/>
      <c r="D2" s="413"/>
      <c r="E2" s="413"/>
      <c r="F2" s="413"/>
      <c r="G2" s="413"/>
    </row>
    <row r="3" spans="1:10" ht="15">
      <c r="A3" s="361"/>
      <c r="B3" s="470" t="s">
        <v>968</v>
      </c>
      <c r="C3" s="471"/>
      <c r="D3" s="476" t="s">
        <v>969</v>
      </c>
      <c r="E3" s="477"/>
      <c r="F3" s="478"/>
      <c r="G3" s="415"/>
      <c r="H3" s="414"/>
      <c r="I3" s="414"/>
      <c r="J3" s="359"/>
    </row>
    <row r="4" spans="1:10">
      <c r="A4" s="361"/>
      <c r="B4" s="472"/>
      <c r="C4" s="473"/>
      <c r="D4" s="479" t="s">
        <v>970</v>
      </c>
      <c r="E4" s="479"/>
      <c r="F4" s="479"/>
      <c r="G4" s="416"/>
      <c r="H4" s="414"/>
      <c r="I4" s="414"/>
    </row>
    <row r="5" spans="1:10">
      <c r="A5" s="361"/>
      <c r="B5" s="474"/>
      <c r="C5" s="475"/>
      <c r="D5" s="403" t="s">
        <v>971</v>
      </c>
      <c r="E5" s="403" t="s">
        <v>972</v>
      </c>
      <c r="F5" s="403" t="s">
        <v>973</v>
      </c>
      <c r="G5" s="416" t="s">
        <v>159</v>
      </c>
      <c r="H5" s="414"/>
      <c r="I5" s="414"/>
    </row>
    <row r="6" spans="1:10">
      <c r="A6" s="361"/>
      <c r="B6" s="465" t="s">
        <v>974</v>
      </c>
      <c r="C6" s="466"/>
      <c r="D6" s="406">
        <v>2550</v>
      </c>
      <c r="E6" s="406">
        <v>310810</v>
      </c>
      <c r="F6" s="406">
        <v>5800</v>
      </c>
      <c r="G6" s="414"/>
      <c r="H6" s="414"/>
      <c r="I6" s="414"/>
    </row>
    <row r="7" spans="1:10">
      <c r="A7" s="361"/>
      <c r="B7" s="465" t="s">
        <v>978</v>
      </c>
      <c r="C7" s="466"/>
      <c r="D7" s="411">
        <v>5000</v>
      </c>
      <c r="E7" s="411">
        <v>39</v>
      </c>
      <c r="F7" s="411">
        <v>2500</v>
      </c>
    </row>
    <row r="8" spans="1:10">
      <c r="A8" s="361"/>
      <c r="B8" s="404"/>
      <c r="C8" s="405"/>
      <c r="D8" s="406">
        <f>D6*D7</f>
        <v>12750000</v>
      </c>
      <c r="E8" s="406">
        <f t="shared" ref="E8:F8" si="0">E6*E7</f>
        <v>12121590</v>
      </c>
      <c r="F8" s="406">
        <f t="shared" si="0"/>
        <v>14500000</v>
      </c>
    </row>
    <row r="9" spans="1:10">
      <c r="A9" s="361"/>
      <c r="B9" s="465" t="s">
        <v>984</v>
      </c>
      <c r="C9" s="466"/>
      <c r="D9" s="412">
        <v>0.2</v>
      </c>
      <c r="E9" s="411">
        <v>0</v>
      </c>
      <c r="F9" s="411">
        <f>(162+264.8)</f>
        <v>426.8</v>
      </c>
      <c r="G9" s="407">
        <f>D11</f>
        <v>15300000</v>
      </c>
      <c r="H9" s="353" t="s">
        <v>114</v>
      </c>
    </row>
    <row r="10" spans="1:10">
      <c r="A10" s="361"/>
      <c r="B10" s="465" t="s">
        <v>975</v>
      </c>
      <c r="C10" s="466"/>
      <c r="D10" s="406">
        <f>D8*D9</f>
        <v>2550000</v>
      </c>
      <c r="E10" s="406">
        <f>E9*E6</f>
        <v>0</v>
      </c>
      <c r="F10" s="406">
        <f>F6*F9</f>
        <v>2475440</v>
      </c>
      <c r="G10" s="407">
        <f>E11+F11</f>
        <v>29097030</v>
      </c>
      <c r="H10" s="353" t="s">
        <v>115</v>
      </c>
      <c r="I10" s="402"/>
    </row>
    <row r="11" spans="1:10">
      <c r="A11" s="361"/>
      <c r="B11" s="467" t="s">
        <v>976</v>
      </c>
      <c r="C11" s="468"/>
      <c r="D11" s="408">
        <f>D8+D10</f>
        <v>15300000</v>
      </c>
      <c r="E11" s="408">
        <f>E8+E10</f>
        <v>12121590</v>
      </c>
      <c r="F11" s="408">
        <f>F8+F10</f>
        <v>16975440</v>
      </c>
      <c r="G11" s="409">
        <f>SUM(D11:F11)</f>
        <v>44397030</v>
      </c>
      <c r="I11" s="402"/>
    </row>
    <row r="12" spans="1:10">
      <c r="A12" s="361"/>
      <c r="B12" s="361"/>
      <c r="C12" s="361"/>
      <c r="D12" s="361"/>
      <c r="E12" s="361"/>
      <c r="F12" s="361"/>
      <c r="G12" s="361"/>
    </row>
  </sheetData>
  <mergeCells count="9">
    <mergeCell ref="B9:C9"/>
    <mergeCell ref="B6:C6"/>
    <mergeCell ref="B10:C10"/>
    <mergeCell ref="B11:C11"/>
    <mergeCell ref="B1:G1"/>
    <mergeCell ref="B3:C5"/>
    <mergeCell ref="D3:F3"/>
    <mergeCell ref="D4:F4"/>
    <mergeCell ref="B7:C7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Y55"/>
  <sheetViews>
    <sheetView zoomScaleNormal="100" workbookViewId="0">
      <selection activeCell="I18" sqref="I18"/>
    </sheetView>
  </sheetViews>
  <sheetFormatPr defaultColWidth="8.75" defaultRowHeight="14.25"/>
  <cols>
    <col min="1" max="8" width="12.75" style="361" customWidth="1"/>
    <col min="9" max="9" width="9.875" style="361" bestFit="1" customWidth="1"/>
    <col min="10" max="10" width="8.875" style="361" bestFit="1" customWidth="1"/>
    <col min="11" max="13" width="9.875" style="361" bestFit="1" customWidth="1"/>
    <col min="14" max="14" width="8.875" style="361" bestFit="1" customWidth="1"/>
    <col min="15" max="15" width="9.875" style="361" bestFit="1" customWidth="1"/>
    <col min="16" max="16" width="8.875" style="361" bestFit="1" customWidth="1"/>
    <col min="17" max="19" width="9.875" style="361" bestFit="1" customWidth="1"/>
    <col min="20" max="20" width="8.875" style="361" bestFit="1" customWidth="1"/>
    <col min="21" max="21" width="9.875" style="361" bestFit="1" customWidth="1"/>
    <col min="22" max="22" width="8.875" style="361" bestFit="1" customWidth="1"/>
    <col min="23" max="23" width="9.875" style="361" bestFit="1" customWidth="1"/>
    <col min="24" max="25" width="11.375" style="361" bestFit="1" customWidth="1"/>
    <col min="26" max="16384" width="8.75" style="361"/>
  </cols>
  <sheetData>
    <row r="1" spans="1:8">
      <c r="A1" s="360" t="s">
        <v>241</v>
      </c>
    </row>
    <row r="3" spans="1:8" ht="18">
      <c r="A3" s="362" t="s">
        <v>214</v>
      </c>
      <c r="B3" s="362"/>
      <c r="C3" s="362"/>
      <c r="D3" s="362"/>
      <c r="E3" s="362"/>
      <c r="F3" s="362"/>
      <c r="G3" s="362"/>
      <c r="H3" s="362"/>
    </row>
    <row r="4" spans="1:8" ht="18">
      <c r="A4" s="362"/>
      <c r="B4" s="362"/>
      <c r="C4" s="362"/>
      <c r="D4" s="362"/>
      <c r="E4" s="362"/>
      <c r="F4" s="362"/>
      <c r="G4" s="362"/>
      <c r="H4" s="362"/>
    </row>
    <row r="5" spans="1:8" ht="15.75">
      <c r="A5" s="363"/>
      <c r="B5" s="364" t="s">
        <v>977</v>
      </c>
      <c r="C5" s="363"/>
      <c r="D5" s="363"/>
      <c r="E5" s="363"/>
      <c r="F5" s="363"/>
      <c r="G5" s="363"/>
      <c r="H5" s="365"/>
    </row>
    <row r="7" spans="1:8">
      <c r="A7" s="363"/>
      <c r="B7" s="366" t="s">
        <v>82</v>
      </c>
      <c r="C7" s="367" t="s">
        <v>148</v>
      </c>
      <c r="D7" s="368">
        <v>3365.7550000000001</v>
      </c>
      <c r="E7" s="367" t="s">
        <v>149</v>
      </c>
      <c r="F7" s="368">
        <v>2219.5500000000002</v>
      </c>
      <c r="G7" s="367" t="s">
        <v>150</v>
      </c>
      <c r="H7" s="368">
        <v>2962.91</v>
      </c>
    </row>
    <row r="8" spans="1:8">
      <c r="A8" s="363"/>
      <c r="B8" s="366" t="s">
        <v>81</v>
      </c>
      <c r="C8" s="367" t="s">
        <v>148</v>
      </c>
      <c r="D8" s="368">
        <v>5343.23</v>
      </c>
      <c r="E8" s="367" t="s">
        <v>149</v>
      </c>
      <c r="F8" s="368">
        <v>2735.57</v>
      </c>
      <c r="G8" s="367" t="s">
        <v>150</v>
      </c>
      <c r="H8" s="368">
        <v>4608.25</v>
      </c>
    </row>
    <row r="11" spans="1:8">
      <c r="A11" s="369"/>
      <c r="B11" s="370" t="s">
        <v>215</v>
      </c>
      <c r="C11" s="371" t="s">
        <v>151</v>
      </c>
      <c r="D11" s="371" t="s">
        <v>152</v>
      </c>
      <c r="E11" s="371" t="s">
        <v>153</v>
      </c>
      <c r="F11" s="371" t="s">
        <v>154</v>
      </c>
      <c r="G11" s="371" t="s">
        <v>155</v>
      </c>
      <c r="H11" s="372"/>
    </row>
    <row r="12" spans="1:8">
      <c r="A12" s="369"/>
      <c r="B12" s="367" t="s">
        <v>156</v>
      </c>
      <c r="C12" s="373">
        <v>208</v>
      </c>
      <c r="D12" s="373">
        <v>65</v>
      </c>
      <c r="E12" s="373">
        <v>61</v>
      </c>
      <c r="F12" s="373">
        <v>20</v>
      </c>
      <c r="G12" s="373">
        <v>62</v>
      </c>
      <c r="H12" s="372"/>
    </row>
    <row r="13" spans="1:8">
      <c r="A13" s="369"/>
      <c r="B13" s="367" t="s">
        <v>157</v>
      </c>
      <c r="C13" s="373">
        <v>42</v>
      </c>
      <c r="D13" s="373">
        <v>0</v>
      </c>
      <c r="E13" s="373">
        <v>0</v>
      </c>
      <c r="F13" s="373">
        <v>42</v>
      </c>
      <c r="G13" s="373">
        <v>0</v>
      </c>
      <c r="H13" s="372"/>
    </row>
    <row r="14" spans="1:8">
      <c r="A14" s="369"/>
      <c r="B14" s="367" t="s">
        <v>158</v>
      </c>
      <c r="C14" s="373">
        <v>115</v>
      </c>
      <c r="D14" s="373">
        <v>25</v>
      </c>
      <c r="E14" s="373">
        <v>30</v>
      </c>
      <c r="F14" s="373">
        <v>30</v>
      </c>
      <c r="G14" s="373">
        <v>30</v>
      </c>
      <c r="H14" s="372"/>
    </row>
    <row r="15" spans="1:8">
      <c r="A15" s="374"/>
      <c r="B15" s="367"/>
      <c r="C15" s="371">
        <v>365</v>
      </c>
      <c r="D15" s="371">
        <v>90</v>
      </c>
      <c r="E15" s="371">
        <v>91</v>
      </c>
      <c r="F15" s="371">
        <v>92</v>
      </c>
      <c r="G15" s="371">
        <v>92</v>
      </c>
      <c r="H15" s="372"/>
    </row>
    <row r="17" spans="1:25">
      <c r="A17" s="363"/>
      <c r="B17" s="375" t="s">
        <v>82</v>
      </c>
      <c r="C17" s="375" t="s">
        <v>81</v>
      </c>
      <c r="D17" s="366" t="s">
        <v>216</v>
      </c>
      <c r="E17" s="366" t="s">
        <v>217</v>
      </c>
      <c r="F17" s="366" t="s">
        <v>218</v>
      </c>
      <c r="G17" s="366" t="s">
        <v>219</v>
      </c>
      <c r="H17" s="376"/>
    </row>
    <row r="18" spans="1:25">
      <c r="A18" s="367" t="s">
        <v>156</v>
      </c>
      <c r="B18" s="377">
        <v>700077.04</v>
      </c>
      <c r="C18" s="377">
        <v>1111391.8399999999</v>
      </c>
      <c r="D18" s="377">
        <v>347309.94999999995</v>
      </c>
      <c r="E18" s="377">
        <v>325937.02999999997</v>
      </c>
      <c r="F18" s="377">
        <v>106864.59999999999</v>
      </c>
      <c r="G18" s="377">
        <v>331280.25999999995</v>
      </c>
      <c r="H18" s="378"/>
    </row>
    <row r="19" spans="1:25">
      <c r="A19" s="367" t="s">
        <v>157</v>
      </c>
      <c r="B19" s="377">
        <v>124442.22</v>
      </c>
      <c r="C19" s="377">
        <v>193546.5</v>
      </c>
      <c r="D19" s="377">
        <v>0</v>
      </c>
      <c r="E19" s="377">
        <v>0</v>
      </c>
      <c r="F19" s="377">
        <v>193546.5</v>
      </c>
      <c r="G19" s="377">
        <v>0</v>
      </c>
      <c r="H19" s="378"/>
    </row>
    <row r="20" spans="1:25">
      <c r="A20" s="367" t="s">
        <v>158</v>
      </c>
      <c r="B20" s="377">
        <v>255248.25000000003</v>
      </c>
      <c r="C20" s="377">
        <v>314590.55000000005</v>
      </c>
      <c r="D20" s="377">
        <v>68389.25</v>
      </c>
      <c r="E20" s="377">
        <v>82067.100000000006</v>
      </c>
      <c r="F20" s="377">
        <v>82067.100000000006</v>
      </c>
      <c r="G20" s="377">
        <v>82067.100000000006</v>
      </c>
      <c r="H20" s="378"/>
    </row>
    <row r="21" spans="1:25">
      <c r="A21" s="367" t="s">
        <v>160</v>
      </c>
      <c r="B21" s="379">
        <v>1079767.51</v>
      </c>
      <c r="C21" s="379">
        <v>1619528.89</v>
      </c>
      <c r="D21" s="380">
        <v>415699.19999999995</v>
      </c>
      <c r="E21" s="380">
        <v>408004.13</v>
      </c>
      <c r="F21" s="380">
        <v>382478.19999999995</v>
      </c>
      <c r="G21" s="380">
        <v>413347.36</v>
      </c>
      <c r="H21" s="378"/>
    </row>
    <row r="22" spans="1:25">
      <c r="A22" s="363"/>
      <c r="B22" s="363"/>
      <c r="C22" s="363"/>
      <c r="D22" s="363"/>
      <c r="E22" s="381"/>
      <c r="F22" s="381"/>
      <c r="G22" s="381"/>
      <c r="H22" s="378"/>
    </row>
    <row r="23" spans="1:25" hidden="1">
      <c r="A23" s="363"/>
      <c r="B23" s="363"/>
      <c r="C23" s="363"/>
      <c r="D23" s="363"/>
      <c r="E23" s="381"/>
      <c r="F23" s="381"/>
      <c r="G23" s="381"/>
      <c r="H23" s="378"/>
    </row>
    <row r="24" spans="1:25" hidden="1"/>
    <row r="25" spans="1:25" hidden="1">
      <c r="A25" s="360" t="s">
        <v>242</v>
      </c>
    </row>
    <row r="26" spans="1:25" hidden="1"/>
    <row r="27" spans="1:25" ht="24" hidden="1" thickBot="1">
      <c r="A27" s="363"/>
      <c r="B27" s="363"/>
      <c r="C27" s="363"/>
      <c r="D27" s="363"/>
      <c r="E27" s="363"/>
      <c r="F27" s="363"/>
      <c r="G27" s="363"/>
      <c r="H27" s="363"/>
      <c r="I27" s="363"/>
      <c r="J27" s="363"/>
      <c r="K27" s="363"/>
      <c r="L27" s="480" t="s">
        <v>220</v>
      </c>
      <c r="M27" s="480"/>
      <c r="N27" s="480"/>
      <c r="O27" s="363"/>
      <c r="P27" s="363"/>
      <c r="Q27" s="363"/>
      <c r="R27" s="363"/>
      <c r="S27" s="363"/>
      <c r="T27" s="363"/>
      <c r="U27" s="363"/>
      <c r="V27" s="363"/>
      <c r="W27" s="363"/>
      <c r="X27" s="363"/>
      <c r="Y27" s="363"/>
    </row>
    <row r="28" spans="1:25" ht="15" hidden="1" thickTop="1">
      <c r="A28" s="481"/>
      <c r="B28" s="483" t="s">
        <v>221</v>
      </c>
      <c r="C28" s="483"/>
      <c r="D28" s="483" t="s">
        <v>222</v>
      </c>
      <c r="E28" s="483"/>
      <c r="F28" s="483" t="s">
        <v>223</v>
      </c>
      <c r="G28" s="483"/>
      <c r="H28" s="483" t="s">
        <v>224</v>
      </c>
      <c r="I28" s="483"/>
      <c r="J28" s="483" t="s">
        <v>225</v>
      </c>
      <c r="K28" s="483"/>
      <c r="L28" s="483" t="s">
        <v>226</v>
      </c>
      <c r="M28" s="483"/>
      <c r="N28" s="483" t="s">
        <v>227</v>
      </c>
      <c r="O28" s="483"/>
      <c r="P28" s="483" t="s">
        <v>228</v>
      </c>
      <c r="Q28" s="483"/>
      <c r="R28" s="483" t="s">
        <v>229</v>
      </c>
      <c r="S28" s="483"/>
      <c r="T28" s="483" t="s">
        <v>230</v>
      </c>
      <c r="U28" s="483"/>
      <c r="V28" s="483" t="s">
        <v>231</v>
      </c>
      <c r="W28" s="483"/>
      <c r="X28" s="483" t="s">
        <v>232</v>
      </c>
      <c r="Y28" s="484"/>
    </row>
    <row r="29" spans="1:25" hidden="1">
      <c r="A29" s="482"/>
      <c r="B29" s="382" t="s">
        <v>233</v>
      </c>
      <c r="C29" s="383" t="s">
        <v>234</v>
      </c>
      <c r="D29" s="382" t="s">
        <v>233</v>
      </c>
      <c r="E29" s="383" t="s">
        <v>234</v>
      </c>
      <c r="F29" s="382" t="s">
        <v>233</v>
      </c>
      <c r="G29" s="383" t="s">
        <v>234</v>
      </c>
      <c r="H29" s="382" t="s">
        <v>233</v>
      </c>
      <c r="I29" s="383" t="s">
        <v>234</v>
      </c>
      <c r="J29" s="382" t="s">
        <v>233</v>
      </c>
      <c r="K29" s="383" t="s">
        <v>234</v>
      </c>
      <c r="L29" s="382" t="s">
        <v>233</v>
      </c>
      <c r="M29" s="383" t="s">
        <v>234</v>
      </c>
      <c r="N29" s="382" t="s">
        <v>233</v>
      </c>
      <c r="O29" s="383" t="s">
        <v>234</v>
      </c>
      <c r="P29" s="382" t="s">
        <v>233</v>
      </c>
      <c r="Q29" s="383" t="s">
        <v>234</v>
      </c>
      <c r="R29" s="382" t="s">
        <v>233</v>
      </c>
      <c r="S29" s="383" t="s">
        <v>234</v>
      </c>
      <c r="T29" s="382" t="s">
        <v>233</v>
      </c>
      <c r="U29" s="383" t="s">
        <v>234</v>
      </c>
      <c r="V29" s="382" t="s">
        <v>233</v>
      </c>
      <c r="W29" s="383" t="s">
        <v>234</v>
      </c>
      <c r="X29" s="382" t="s">
        <v>233</v>
      </c>
      <c r="Y29" s="384" t="s">
        <v>234</v>
      </c>
    </row>
    <row r="30" spans="1:25" hidden="1">
      <c r="A30" s="385" t="s">
        <v>235</v>
      </c>
      <c r="B30" s="377">
        <v>74046.61</v>
      </c>
      <c r="C30" s="377">
        <v>117551.06</v>
      </c>
      <c r="D30" s="377">
        <v>67315.100000000006</v>
      </c>
      <c r="E30" s="377">
        <v>106864.59999999999</v>
      </c>
      <c r="F30" s="377">
        <v>77412.365000000005</v>
      </c>
      <c r="G30" s="377">
        <v>122894.29</v>
      </c>
      <c r="H30" s="377">
        <v>60583.590000000004</v>
      </c>
      <c r="I30" s="377">
        <v>96178.139999999985</v>
      </c>
      <c r="J30" s="377">
        <v>70680.854999999996</v>
      </c>
      <c r="K30" s="377">
        <v>112207.82999999999</v>
      </c>
      <c r="L30" s="377">
        <v>74046.61</v>
      </c>
      <c r="M30" s="377">
        <v>117551.06</v>
      </c>
      <c r="N30" s="377">
        <v>56295.289999999994</v>
      </c>
      <c r="O30" s="377">
        <v>87556.75</v>
      </c>
      <c r="P30" s="377">
        <v>68146.929999999993</v>
      </c>
      <c r="Q30" s="377">
        <v>105989.75</v>
      </c>
      <c r="R30" s="377">
        <v>67315.100000000006</v>
      </c>
      <c r="S30" s="377">
        <v>106864.59999999999</v>
      </c>
      <c r="T30" s="377">
        <v>74046.61</v>
      </c>
      <c r="U30" s="377">
        <v>117551.06</v>
      </c>
      <c r="V30" s="377">
        <v>70680.854999999996</v>
      </c>
      <c r="W30" s="377">
        <v>112207.82999999999</v>
      </c>
      <c r="X30" s="377">
        <v>63949.345000000001</v>
      </c>
      <c r="Y30" s="386">
        <v>101521.37</v>
      </c>
    </row>
    <row r="31" spans="1:25" ht="15" hidden="1" thickBot="1">
      <c r="A31" s="387" t="s">
        <v>236</v>
      </c>
      <c r="B31" s="388">
        <v>19975.95</v>
      </c>
      <c r="C31" s="389">
        <v>24620.13</v>
      </c>
      <c r="D31" s="388">
        <v>17756.400000000001</v>
      </c>
      <c r="E31" s="388">
        <v>21884.560000000001</v>
      </c>
      <c r="F31" s="388">
        <v>17756.400000000001</v>
      </c>
      <c r="G31" s="388">
        <v>21884.560000000001</v>
      </c>
      <c r="H31" s="388">
        <v>26634.600000000002</v>
      </c>
      <c r="I31" s="388">
        <v>32826.840000000004</v>
      </c>
      <c r="J31" s="388">
        <v>22195.5</v>
      </c>
      <c r="K31" s="388">
        <v>27355.7</v>
      </c>
      <c r="L31" s="388">
        <v>17756.400000000001</v>
      </c>
      <c r="M31" s="388">
        <v>21884.560000000001</v>
      </c>
      <c r="N31" s="388">
        <v>26634.600000000002</v>
      </c>
      <c r="O31" s="388">
        <v>32826.840000000004</v>
      </c>
      <c r="P31" s="388">
        <v>17756.400000000001</v>
      </c>
      <c r="Q31" s="388">
        <v>21884.560000000001</v>
      </c>
      <c r="R31" s="388">
        <v>22195.5</v>
      </c>
      <c r="S31" s="388">
        <v>27355.7</v>
      </c>
      <c r="T31" s="388">
        <v>19975.95</v>
      </c>
      <c r="U31" s="388">
        <v>24620.13</v>
      </c>
      <c r="V31" s="388">
        <v>19975.95</v>
      </c>
      <c r="W31" s="388">
        <v>24620.13</v>
      </c>
      <c r="X31" s="388">
        <v>26634.600000000002</v>
      </c>
      <c r="Y31" s="390">
        <v>32826.840000000004</v>
      </c>
    </row>
    <row r="32" spans="1:25" ht="15.75" hidden="1" thickTop="1" thickBot="1">
      <c r="A32" s="391" t="s">
        <v>237</v>
      </c>
      <c r="B32" s="392">
        <v>94022.56</v>
      </c>
      <c r="C32" s="392">
        <v>142171.19</v>
      </c>
      <c r="D32" s="392">
        <v>85071.5</v>
      </c>
      <c r="E32" s="392">
        <v>128749.15999999999</v>
      </c>
      <c r="F32" s="392">
        <v>95168.765000000014</v>
      </c>
      <c r="G32" s="392">
        <v>144778.85</v>
      </c>
      <c r="H32" s="392">
        <v>87218.19</v>
      </c>
      <c r="I32" s="392">
        <v>129004.97999999998</v>
      </c>
      <c r="J32" s="392">
        <v>92876.354999999996</v>
      </c>
      <c r="K32" s="392">
        <v>139563.53</v>
      </c>
      <c r="L32" s="392">
        <v>91803.010000000009</v>
      </c>
      <c r="M32" s="392">
        <v>139435.62</v>
      </c>
      <c r="N32" s="392">
        <v>82929.89</v>
      </c>
      <c r="O32" s="392">
        <v>120383.59</v>
      </c>
      <c r="P32" s="392">
        <v>85903.329999999987</v>
      </c>
      <c r="Q32" s="392">
        <v>127874.31</v>
      </c>
      <c r="R32" s="392">
        <v>89510.6</v>
      </c>
      <c r="S32" s="392">
        <v>134220.29999999999</v>
      </c>
      <c r="T32" s="392">
        <v>94022.56</v>
      </c>
      <c r="U32" s="392">
        <v>142171.19</v>
      </c>
      <c r="V32" s="392">
        <v>90656.804999999993</v>
      </c>
      <c r="W32" s="392">
        <v>136827.96</v>
      </c>
      <c r="X32" s="392">
        <v>90583.945000000007</v>
      </c>
      <c r="Y32" s="393">
        <v>134348.21</v>
      </c>
    </row>
    <row r="33" spans="1:25" ht="15.75" hidden="1" thickTop="1">
      <c r="A33" s="394" t="s">
        <v>238</v>
      </c>
      <c r="B33" s="395"/>
      <c r="C33" s="395"/>
      <c r="D33" s="395"/>
      <c r="E33" s="395"/>
      <c r="F33" s="396">
        <v>274262.82500000001</v>
      </c>
      <c r="G33" s="396">
        <v>415699.19999999995</v>
      </c>
      <c r="H33" s="395"/>
      <c r="I33" s="395"/>
      <c r="J33" s="395"/>
      <c r="K33" s="395"/>
      <c r="L33" s="396">
        <v>271897.55499999999</v>
      </c>
      <c r="M33" s="396">
        <v>408004.13</v>
      </c>
      <c r="N33" s="395"/>
      <c r="O33" s="395"/>
      <c r="P33" s="395"/>
      <c r="Q33" s="395"/>
      <c r="R33" s="396">
        <v>258343.81999999998</v>
      </c>
      <c r="S33" s="396">
        <v>382478.19999999995</v>
      </c>
      <c r="T33" s="395"/>
      <c r="U33" s="395"/>
      <c r="V33" s="395"/>
      <c r="W33" s="395"/>
      <c r="X33" s="396">
        <v>275263.31</v>
      </c>
      <c r="Y33" s="396">
        <v>413347.36</v>
      </c>
    </row>
    <row r="34" spans="1:25" ht="15" hidden="1">
      <c r="A34" s="397" t="s">
        <v>239</v>
      </c>
      <c r="B34" s="395"/>
      <c r="C34" s="395"/>
      <c r="D34" s="395"/>
      <c r="E34" s="395"/>
      <c r="F34" s="395"/>
      <c r="G34" s="395"/>
      <c r="H34" s="395"/>
      <c r="I34" s="395"/>
      <c r="J34" s="395"/>
      <c r="K34" s="395"/>
      <c r="L34" s="398">
        <v>546160.38</v>
      </c>
      <c r="M34" s="398">
        <v>823703.33</v>
      </c>
      <c r="N34" s="395"/>
      <c r="O34" s="395"/>
      <c r="P34" s="395"/>
      <c r="Q34" s="395"/>
      <c r="R34" s="395"/>
      <c r="S34" s="395"/>
      <c r="T34" s="395"/>
      <c r="U34" s="395"/>
      <c r="V34" s="395"/>
      <c r="W34" s="395"/>
      <c r="X34" s="398">
        <v>533607.13</v>
      </c>
      <c r="Y34" s="398">
        <v>795825.55999999994</v>
      </c>
    </row>
    <row r="35" spans="1:25" ht="15" hidden="1">
      <c r="A35" s="399" t="s">
        <v>240</v>
      </c>
      <c r="B35" s="395"/>
      <c r="C35" s="395"/>
      <c r="D35" s="395"/>
      <c r="E35" s="395"/>
      <c r="F35" s="395"/>
      <c r="G35" s="395"/>
      <c r="H35" s="395"/>
      <c r="I35" s="395"/>
      <c r="J35" s="395"/>
      <c r="K35" s="395"/>
      <c r="L35" s="395"/>
      <c r="M35" s="395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400">
        <v>1079767.51</v>
      </c>
      <c r="Y35" s="400">
        <v>1619528.89</v>
      </c>
    </row>
    <row r="36" spans="1:25" hidden="1">
      <c r="A36" s="363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</row>
    <row r="37" spans="1:25" hidden="1">
      <c r="A37" s="363"/>
      <c r="B37" s="401"/>
      <c r="C37" s="401"/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</row>
    <row r="38" spans="1:25" hidden="1"/>
    <row r="39" spans="1:25" hidden="1">
      <c r="A39" s="363"/>
      <c r="B39" s="366" t="s">
        <v>82</v>
      </c>
      <c r="C39" s="367" t="s">
        <v>148</v>
      </c>
      <c r="D39" s="368">
        <v>3365.7550000000001</v>
      </c>
      <c r="E39" s="367" t="s">
        <v>149</v>
      </c>
      <c r="F39" s="368">
        <v>2219.5500000000002</v>
      </c>
      <c r="G39" s="367" t="s">
        <v>150</v>
      </c>
      <c r="H39" s="368">
        <v>2962.91</v>
      </c>
      <c r="I39" s="363"/>
      <c r="J39" s="363"/>
      <c r="K39" s="363"/>
      <c r="L39" s="363"/>
      <c r="M39" s="363"/>
      <c r="N39" s="363"/>
      <c r="O39" s="363"/>
      <c r="P39" s="363"/>
      <c r="Q39" s="363"/>
      <c r="R39" s="363"/>
      <c r="S39" s="363"/>
      <c r="T39" s="363"/>
      <c r="U39" s="363"/>
      <c r="V39" s="363"/>
      <c r="W39" s="363"/>
      <c r="X39" s="363"/>
      <c r="Y39" s="363"/>
    </row>
    <row r="40" spans="1:25" hidden="1">
      <c r="A40" s="363"/>
      <c r="B40" s="366" t="s">
        <v>81</v>
      </c>
      <c r="C40" s="367" t="s">
        <v>148</v>
      </c>
      <c r="D40" s="368">
        <v>5343.23</v>
      </c>
      <c r="E40" s="367" t="s">
        <v>149</v>
      </c>
      <c r="F40" s="368">
        <v>2735.57</v>
      </c>
      <c r="G40" s="367" t="s">
        <v>150</v>
      </c>
      <c r="H40" s="368">
        <v>4608.25</v>
      </c>
      <c r="I40" s="363"/>
      <c r="J40" s="363"/>
      <c r="K40" s="363"/>
      <c r="L40" s="363"/>
      <c r="M40" s="363"/>
      <c r="N40" s="363"/>
      <c r="O40" s="363"/>
      <c r="P40" s="363"/>
      <c r="Q40" s="363"/>
      <c r="R40" s="363"/>
      <c r="S40" s="363"/>
      <c r="T40" s="363"/>
      <c r="U40" s="363"/>
      <c r="V40" s="363"/>
      <c r="W40" s="363"/>
      <c r="X40" s="363"/>
      <c r="Y40" s="363"/>
    </row>
    <row r="41" spans="1:25" hidden="1"/>
    <row r="42" spans="1:25" hidden="1"/>
    <row r="43" spans="1:25" hidden="1"/>
    <row r="44" spans="1:25" hidden="1"/>
    <row r="45" spans="1:25" hidden="1"/>
    <row r="46" spans="1:25" hidden="1"/>
    <row r="47" spans="1:25" hidden="1"/>
    <row r="48" spans="1:25" hidden="1"/>
    <row r="49" hidden="1"/>
    <row r="50" hidden="1"/>
    <row r="51" hidden="1"/>
    <row r="52" hidden="1"/>
    <row r="53" hidden="1"/>
    <row r="54" hidden="1"/>
    <row r="55" hidden="1"/>
  </sheetData>
  <mergeCells count="14">
    <mergeCell ref="L27:N27"/>
    <mergeCell ref="A28:A29"/>
    <mergeCell ref="X28:Y28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T28:U28"/>
    <mergeCell ref="V28:W28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22"/>
  <sheetViews>
    <sheetView workbookViewId="0">
      <selection activeCell="E9" sqref="E9"/>
    </sheetView>
  </sheetViews>
  <sheetFormatPr defaultRowHeight="14.25"/>
  <cols>
    <col min="1" max="1" width="30.5" customWidth="1"/>
    <col min="9" max="9" width="31.125" customWidth="1"/>
    <col min="12" max="12" width="8.875" bestFit="1" customWidth="1"/>
  </cols>
  <sheetData>
    <row r="1" spans="1:14" ht="15">
      <c r="A1" s="26" t="s">
        <v>161</v>
      </c>
      <c r="B1" s="64">
        <f>F10-F9</f>
        <v>-140613.60000000009</v>
      </c>
      <c r="C1" s="27"/>
      <c r="D1" s="178" t="s">
        <v>243</v>
      </c>
      <c r="E1" s="178">
        <v>131880</v>
      </c>
      <c r="F1" s="179">
        <f>B1+E1</f>
        <v>-8733.6000000000931</v>
      </c>
      <c r="G1" s="178" t="s">
        <v>244</v>
      </c>
    </row>
    <row r="2" spans="1:14" ht="15">
      <c r="A2" s="2" t="s">
        <v>87</v>
      </c>
      <c r="I2" s="2" t="s">
        <v>90</v>
      </c>
    </row>
    <row r="4" spans="1:14">
      <c r="A4" t="s">
        <v>88</v>
      </c>
      <c r="D4" s="29">
        <f>'km - plán 2023'!B21</f>
        <v>1079767.51</v>
      </c>
      <c r="E4" s="24"/>
      <c r="I4" t="s">
        <v>88</v>
      </c>
      <c r="L4" s="29">
        <f>'km - plán 2023'!C21</f>
        <v>1619528.89</v>
      </c>
      <c r="M4" s="24"/>
    </row>
    <row r="5" spans="1:14">
      <c r="A5" t="s">
        <v>89</v>
      </c>
      <c r="D5" s="24">
        <v>1210344</v>
      </c>
      <c r="I5" t="s">
        <v>89</v>
      </c>
      <c r="L5" s="24">
        <v>1629566</v>
      </c>
      <c r="N5">
        <v>1629.566</v>
      </c>
    </row>
    <row r="6" spans="1:14" ht="15">
      <c r="A6" s="2" t="s">
        <v>91</v>
      </c>
      <c r="D6" s="65">
        <f>D4/D5</f>
        <v>0.89211621654670081</v>
      </c>
      <c r="I6" s="2" t="s">
        <v>92</v>
      </c>
      <c r="L6" s="65">
        <f>L4/L5</f>
        <v>0.99384062382253924</v>
      </c>
    </row>
    <row r="9" spans="1:14">
      <c r="A9" t="s">
        <v>94</v>
      </c>
      <c r="E9" t="s">
        <v>96</v>
      </c>
      <c r="F9" s="24">
        <f>D5+L5</f>
        <v>2839910</v>
      </c>
      <c r="G9" s="24"/>
      <c r="I9" t="s">
        <v>94</v>
      </c>
      <c r="M9" t="s">
        <v>96</v>
      </c>
      <c r="N9" s="24">
        <f>D5+L5</f>
        <v>2839910</v>
      </c>
    </row>
    <row r="10" spans="1:14">
      <c r="A10" t="s">
        <v>93</v>
      </c>
      <c r="E10" t="s">
        <v>95</v>
      </c>
      <c r="F10" s="24">
        <f>D4+L4</f>
        <v>2699296.4</v>
      </c>
      <c r="G10" s="24"/>
      <c r="I10" t="s">
        <v>93</v>
      </c>
      <c r="M10" t="s">
        <v>95</v>
      </c>
      <c r="N10" s="24">
        <f>D4+L4</f>
        <v>2699296.4</v>
      </c>
    </row>
    <row r="11" spans="1:14">
      <c r="A11" t="s">
        <v>97</v>
      </c>
      <c r="E11" s="24"/>
      <c r="I11" t="s">
        <v>97</v>
      </c>
      <c r="M11" s="24"/>
    </row>
    <row r="12" spans="1:14">
      <c r="A12" t="s">
        <v>98</v>
      </c>
      <c r="E12" t="s">
        <v>99</v>
      </c>
      <c r="F12" s="24">
        <v>1224355</v>
      </c>
      <c r="G12" s="24"/>
      <c r="I12" t="s">
        <v>105</v>
      </c>
      <c r="M12" t="s">
        <v>107</v>
      </c>
      <c r="N12" s="24">
        <v>1592445</v>
      </c>
    </row>
    <row r="13" spans="1:14">
      <c r="A13" t="s">
        <v>100</v>
      </c>
      <c r="E13" t="s">
        <v>101</v>
      </c>
      <c r="F13" s="24">
        <f>D4</f>
        <v>1079767.51</v>
      </c>
      <c r="G13" s="24"/>
      <c r="I13" t="s">
        <v>106</v>
      </c>
      <c r="M13" t="s">
        <v>108</v>
      </c>
      <c r="N13" s="24">
        <f>L4</f>
        <v>1619528.89</v>
      </c>
    </row>
    <row r="15" spans="1:14" ht="15">
      <c r="A15" s="2" t="s">
        <v>102</v>
      </c>
      <c r="B15" s="65">
        <f>F13/F10</f>
        <v>0.40001813435530831</v>
      </c>
      <c r="I15" s="2" t="s">
        <v>110</v>
      </c>
      <c r="J15" s="65">
        <f>N13/N10</f>
        <v>0.59998186564469169</v>
      </c>
    </row>
    <row r="16" spans="1:14" ht="15">
      <c r="A16" s="2" t="s">
        <v>103</v>
      </c>
      <c r="B16" s="65">
        <f>F12/F9</f>
        <v>0.4311245778915529</v>
      </c>
      <c r="I16" s="2" t="s">
        <v>111</v>
      </c>
      <c r="J16" s="65">
        <f>N12/N9</f>
        <v>0.56073784028367091</v>
      </c>
    </row>
    <row r="17" spans="1:10" ht="15">
      <c r="A17" s="2" t="s">
        <v>104</v>
      </c>
      <c r="B17" s="65">
        <f>F13/F12</f>
        <v>0.8819072164527445</v>
      </c>
      <c r="I17" s="2" t="s">
        <v>109</v>
      </c>
      <c r="J17" s="65">
        <f>L4/L5</f>
        <v>0.99384062382253924</v>
      </c>
    </row>
    <row r="19" spans="1:10">
      <c r="A19" s="300" t="s">
        <v>941</v>
      </c>
      <c r="E19" t="s">
        <v>209</v>
      </c>
      <c r="F19">
        <v>16</v>
      </c>
    </row>
    <row r="20" spans="1:10">
      <c r="A20" s="300" t="s">
        <v>942</v>
      </c>
      <c r="B20" s="300"/>
      <c r="C20" s="300"/>
      <c r="D20" s="300"/>
      <c r="E20" s="300" t="s">
        <v>939</v>
      </c>
      <c r="F20" s="300">
        <v>16</v>
      </c>
    </row>
    <row r="22" spans="1:10" ht="15">
      <c r="A22" s="322" t="s">
        <v>940</v>
      </c>
      <c r="F22" s="323">
        <f>F20/F19</f>
        <v>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3:C9"/>
  <sheetViews>
    <sheetView workbookViewId="0">
      <selection activeCell="C9" sqref="C9"/>
    </sheetView>
  </sheetViews>
  <sheetFormatPr defaultRowHeight="14.25"/>
  <sheetData>
    <row r="3" spans="1:3" ht="15">
      <c r="A3" s="2" t="s">
        <v>78</v>
      </c>
    </row>
    <row r="4" spans="1:3">
      <c r="A4" s="1" t="s">
        <v>147</v>
      </c>
      <c r="B4" s="1"/>
    </row>
    <row r="5" spans="1:3">
      <c r="B5" s="1"/>
    </row>
    <row r="7" spans="1:3">
      <c r="A7" s="13" t="s">
        <v>207</v>
      </c>
      <c r="C7" s="176">
        <v>135</v>
      </c>
    </row>
    <row r="8" spans="1:3">
      <c r="A8" t="s">
        <v>79</v>
      </c>
      <c r="C8" s="176">
        <v>105.6</v>
      </c>
    </row>
    <row r="9" spans="1:3" ht="15">
      <c r="A9" s="2" t="s">
        <v>69</v>
      </c>
      <c r="B9" s="2"/>
      <c r="C9" s="177">
        <f>C7/C8</f>
        <v>1.2784090909090911</v>
      </c>
    </row>
  </sheetData>
  <hyperlinks>
    <hyperlink ref="A4" r:id="rId1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79998168889431442"/>
  </sheetPr>
  <dimension ref="A2:C22"/>
  <sheetViews>
    <sheetView workbookViewId="0">
      <selection activeCell="J23" sqref="J23"/>
    </sheetView>
  </sheetViews>
  <sheetFormatPr defaultRowHeight="14.25"/>
  <cols>
    <col min="2" max="2" width="9.75" customWidth="1"/>
  </cols>
  <sheetData>
    <row r="2" spans="1:2" ht="15">
      <c r="A2" s="2" t="s">
        <v>47</v>
      </c>
    </row>
    <row r="4" spans="1:2">
      <c r="A4" t="s">
        <v>48</v>
      </c>
      <c r="B4" s="1" t="s">
        <v>938</v>
      </c>
    </row>
    <row r="5" spans="1:2">
      <c r="B5" s="1"/>
    </row>
    <row r="8" spans="1:2">
      <c r="A8" t="s">
        <v>50</v>
      </c>
      <c r="B8" t="s">
        <v>51</v>
      </c>
    </row>
    <row r="9" spans="1:2">
      <c r="A9" s="353" t="s">
        <v>213</v>
      </c>
      <c r="B9" s="354">
        <v>35727</v>
      </c>
    </row>
    <row r="10" spans="1:2">
      <c r="A10" t="s">
        <v>49</v>
      </c>
      <c r="B10">
        <v>28976</v>
      </c>
    </row>
    <row r="11" spans="1:2" ht="15">
      <c r="A11" s="2" t="s">
        <v>52</v>
      </c>
      <c r="B11" s="3">
        <f>B9/B10*100</f>
        <v>123.29859193815571</v>
      </c>
    </row>
    <row r="15" spans="1:2" ht="15">
      <c r="A15" s="2" t="s">
        <v>53</v>
      </c>
    </row>
    <row r="16" spans="1:2">
      <c r="A16" s="4" t="s">
        <v>56</v>
      </c>
    </row>
    <row r="17" spans="1:3">
      <c r="A17" t="s">
        <v>55</v>
      </c>
      <c r="B17" t="s">
        <v>54</v>
      </c>
    </row>
    <row r="18" spans="1:3">
      <c r="A18">
        <v>2022</v>
      </c>
      <c r="B18" s="6">
        <v>33.799999999999997</v>
      </c>
    </row>
    <row r="19" spans="1:3">
      <c r="A19">
        <v>2018</v>
      </c>
      <c r="B19">
        <v>34</v>
      </c>
    </row>
    <row r="20" spans="1:3" ht="15">
      <c r="A20" s="2" t="s">
        <v>52</v>
      </c>
      <c r="B20" s="3">
        <f>B18/B19*100</f>
        <v>99.411764705882348</v>
      </c>
    </row>
    <row r="22" spans="1:3" ht="15">
      <c r="A22" s="2" t="s">
        <v>57</v>
      </c>
      <c r="B22" s="2"/>
      <c r="C22" s="5">
        <f>(B11*B20)/100</f>
        <v>122.57330610322536</v>
      </c>
    </row>
  </sheetData>
  <hyperlinks>
    <hyperlink ref="B4" r:id="rId1"/>
  </hyperlinks>
  <pageMargins left="0.7" right="0.7" top="0.78740157499999996" bottom="0.78740157499999996" header="0.3" footer="0.3"/>
  <pageSetup paperSize="9"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4</vt:i4>
      </vt:variant>
    </vt:vector>
  </HeadingPairs>
  <TitlesOfParts>
    <vt:vector size="17" baseType="lpstr">
      <vt:lpstr>Kompenzace SMO</vt:lpstr>
      <vt:lpstr>výchozí model (T + A)</vt:lpstr>
      <vt:lpstr>výchozí model T</vt:lpstr>
      <vt:lpstr>výchozí model A</vt:lpstr>
      <vt:lpstr>Energie - plán 2023</vt:lpstr>
      <vt:lpstr>km - plán 2023</vt:lpstr>
      <vt:lpstr>změna výkonu </vt:lpstr>
      <vt:lpstr>index bazický</vt:lpstr>
      <vt:lpstr>index mzdy</vt:lpstr>
      <vt:lpstr>index PHM a energie</vt:lpstr>
      <vt:lpstr>Provozní aktiva A+T</vt:lpstr>
      <vt:lpstr>Provozní aktiva ZC</vt:lpstr>
      <vt:lpstr>Perspektiva odpisů</vt:lpstr>
      <vt:lpstr>'Kompenzace SMO'!Oblast_tisku</vt:lpstr>
      <vt:lpstr>'výchozí model (T + A)'!Oblast_tisku</vt:lpstr>
      <vt:lpstr>'výchozí model A'!Oblast_tisku</vt:lpstr>
      <vt:lpstr>'výchozí model T'!Oblast_tisku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Matyšková</dc:creator>
  <cp:lastModifiedBy>Hlávková Andrea</cp:lastModifiedBy>
  <cp:lastPrinted>2022-09-15T06:03:21Z</cp:lastPrinted>
  <dcterms:created xsi:type="dcterms:W3CDTF">2020-09-23T08:16:02Z</dcterms:created>
  <dcterms:modified xsi:type="dcterms:W3CDTF">2022-11-21T12:38:01Z</dcterms:modified>
</cp:coreProperties>
</file>